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Budgets\FY2025 Budget\"/>
    </mc:Choice>
  </mc:AlternateContent>
  <xr:revisionPtr revIDLastSave="0" documentId="8_{62AB2A5F-F7CC-43F7-9837-B03F505A7B53}" xr6:coauthVersionLast="47" xr6:coauthVersionMax="47" xr10:uidLastSave="{00000000-0000-0000-0000-000000000000}"/>
  <bookViews>
    <workbookView xWindow="11865" yWindow="675" windowWidth="24600" windowHeight="17175" firstSheet="38" activeTab="39" xr2:uid="{00000000-000D-0000-FFFF-FFFF00000000}"/>
  </bookViews>
  <sheets>
    <sheet name="538.120 Employee Payroll" sheetId="5" r:id="rId1"/>
    <sheet name="538.125 Board Members Payroll" sheetId="52" r:id="rId2"/>
    <sheet name="538.130 PAYROLL-FRINGE BENEFITS" sheetId="12" r:id="rId3"/>
    <sheet name="538.150 Compens. unused leave" sheetId="21" r:id="rId4"/>
    <sheet name="538.200 TAX-MEDICARE" sheetId="14" r:id="rId5"/>
    <sheet name="538.210 TAX-SOCIAL SECURITY" sheetId="13" r:id="rId6"/>
    <sheet name="538.220 TAX-RETIREMENT" sheetId="19" r:id="rId7"/>
    <sheet name="538.227 Special Assess. Collect" sheetId="32" r:id="rId8"/>
    <sheet name="538.230 INS. - HEALTH &amp; LIFE" sheetId="8" r:id="rId9"/>
    <sheet name="538.240 WORKER COMP" sheetId="6" r:id="rId10"/>
    <sheet name="538.250 Unemployment  Comp." sheetId="15" r:id="rId11"/>
    <sheet name="538.260 GEN. LIABILITY INS." sheetId="10" r:id="rId12"/>
    <sheet name="538.310 Engineering" sheetId="16" r:id="rId13"/>
    <sheet name="538.311 Legal &amp; Professional" sheetId="17" r:id="rId14"/>
    <sheet name="538.320 Audit" sheetId="26" r:id="rId15"/>
    <sheet name="538.340 Independent Services" sheetId="27" r:id="rId16"/>
    <sheet name="538.350 IT-Security" sheetId="28" r:id="rId17"/>
    <sheet name="538.400 Travel-Conferences" sheetId="29" r:id="rId18"/>
    <sheet name="538.410 Telephone" sheetId="34" r:id="rId19"/>
    <sheet name="538.431 Water &amp; Sewer" sheetId="35" r:id="rId20"/>
    <sheet name="538.432 Electric" sheetId="36" r:id="rId21"/>
    <sheet name="538.461 M&amp;R Auto-Truck" sheetId="37" r:id="rId22"/>
    <sheet name="538.462 M&amp;R Buildings" sheetId="38" r:id="rId23"/>
    <sheet name="538.463 M&amp;R Canals" sheetId="39" r:id="rId24"/>
    <sheet name="538.464 M&amp;R Equipment" sheetId="40" r:id="rId25"/>
    <sheet name="538.465 M&amp;R Engines-Pumps" sheetId="42" r:id="rId26"/>
    <sheet name="538.466 M&amp;R Radio" sheetId="41" r:id="rId27"/>
    <sheet name="538.467 M&amp;R Yards" sheetId="43" r:id="rId28"/>
    <sheet name="538.492 Advertising" sheetId="44" r:id="rId29"/>
    <sheet name="538.500 Bank Charges" sheetId="45" r:id="rId30"/>
    <sheet name="538.510 Office Supplies" sheetId="46" r:id="rId31"/>
    <sheet name="538.521 Auto-Fuel,Oil" sheetId="47" r:id="rId32"/>
    <sheet name="538.522 LP-Natural Gas" sheetId="48" r:id="rId33"/>
    <sheet name="538.523 Shop Supplies" sheetId="49" r:id="rId34"/>
    <sheet name="538.525 Uniforms-Shoes-PPE" sheetId="50" r:id="rId35"/>
    <sheet name="538.540 Dues-Licenses" sheetId="51" r:id="rId36"/>
    <sheet name="538.545 Books &amp; Subscriptions" sheetId="55" r:id="rId37"/>
    <sheet name="538.640 Capital Expenditures" sheetId="30" r:id="rId38"/>
    <sheet name="Rents and Leases Revenue" sheetId="31" r:id="rId39"/>
    <sheet name="FY2025 Expense Budget - Ledger " sheetId="25" r:id="rId40"/>
    <sheet name="FY2025 Revenue Budget" sheetId="18" r:id="rId41"/>
  </sheets>
  <definedNames>
    <definedName name="_xlnm.Print_Area" localSheetId="0">'538.120 Employee Payroll'!$A$1:$J$21</definedName>
    <definedName name="_xlnm.Print_Area" localSheetId="1">'538.125 Board Members Payroll'!$A$1:$J$16</definedName>
    <definedName name="_xlnm.Print_Area" localSheetId="3">'538.150 Compens. unused leave'!$A$1:$C$17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8" l="1"/>
  <c r="G18" i="18" s="1"/>
  <c r="G19" i="18" s="1"/>
  <c r="G22" i="18" s="1"/>
  <c r="G24" i="18" s="1"/>
  <c r="I5" i="18"/>
  <c r="J5" i="18" s="1"/>
  <c r="I6" i="18"/>
  <c r="J6" i="18"/>
  <c r="I7" i="18"/>
  <c r="J7" i="18" s="1"/>
  <c r="I8" i="18"/>
  <c r="I9" i="18"/>
  <c r="J9" i="18"/>
  <c r="I11" i="18"/>
  <c r="I12" i="18"/>
  <c r="J12" i="18"/>
  <c r="I13" i="18"/>
  <c r="J13" i="18" s="1"/>
  <c r="F14" i="18"/>
  <c r="O34" i="30"/>
  <c r="H20" i="34" l="1"/>
  <c r="P25" i="30"/>
  <c r="O25" i="30"/>
  <c r="O27" i="30" l="1"/>
  <c r="O30" i="30" s="1"/>
  <c r="G18" i="31"/>
  <c r="O32" i="30" l="1"/>
  <c r="L13" i="29"/>
  <c r="H9" i="47"/>
  <c r="H13" i="43"/>
  <c r="C4" i="8"/>
  <c r="C5" i="8"/>
  <c r="C6" i="8"/>
  <c r="C7" i="8"/>
  <c r="C8" i="8"/>
  <c r="C9" i="8"/>
  <c r="C10" i="8"/>
  <c r="C11" i="8"/>
  <c r="C12" i="8"/>
  <c r="C13" i="8"/>
  <c r="H13" i="8" s="1"/>
  <c r="C14" i="8"/>
  <c r="C15" i="8"/>
  <c r="C16" i="8"/>
  <c r="C3" i="8"/>
  <c r="C7" i="5"/>
  <c r="C3" i="5"/>
  <c r="C4" i="5"/>
  <c r="C5" i="5"/>
  <c r="C6" i="5"/>
  <c r="C8" i="5"/>
  <c r="C2" i="5"/>
  <c r="F25" i="28" l="1"/>
  <c r="E3" i="5"/>
  <c r="E4" i="5"/>
  <c r="E5" i="5"/>
  <c r="E6" i="5"/>
  <c r="E7" i="5"/>
  <c r="E8" i="5"/>
  <c r="E2" i="5" l="1"/>
  <c r="H5" i="8" l="1"/>
  <c r="H3" i="8"/>
  <c r="F17" i="27"/>
  <c r="D21" i="19"/>
  <c r="E16" i="19"/>
  <c r="D11" i="19" s="1"/>
  <c r="E17" i="19"/>
  <c r="D8" i="19" s="1"/>
  <c r="E15" i="19"/>
  <c r="D7" i="19" s="1"/>
  <c r="H10" i="38"/>
  <c r="E6" i="25"/>
  <c r="F6" i="25" s="1"/>
  <c r="C43" i="25"/>
  <c r="H4" i="8" l="1"/>
  <c r="D9" i="19"/>
  <c r="D10" i="19"/>
  <c r="D2" i="19"/>
  <c r="D3" i="19"/>
  <c r="D4" i="19"/>
  <c r="D5" i="19"/>
  <c r="D6" i="19"/>
  <c r="I10" i="5"/>
  <c r="H10" i="5"/>
  <c r="I7" i="52"/>
  <c r="H7" i="52"/>
  <c r="G5" i="52"/>
  <c r="G4" i="52"/>
  <c r="G3" i="52"/>
  <c r="G7" i="52" s="1"/>
  <c r="H12" i="51"/>
  <c r="H12" i="50"/>
  <c r="H9" i="49"/>
  <c r="H9" i="48"/>
  <c r="H9" i="46"/>
  <c r="H9" i="45"/>
  <c r="H9" i="44"/>
  <c r="H10" i="42"/>
  <c r="H10" i="40"/>
  <c r="H10" i="39"/>
  <c r="H10" i="37"/>
  <c r="G10" i="36"/>
  <c r="F18" i="8"/>
  <c r="F19" i="8" s="1"/>
  <c r="E18" i="8"/>
  <c r="E19" i="8" s="1"/>
  <c r="D18" i="8"/>
  <c r="D19" i="8" s="1"/>
  <c r="B18" i="8"/>
  <c r="B19" i="8" s="1"/>
  <c r="H6" i="8"/>
  <c r="H8" i="8"/>
  <c r="H9" i="8"/>
  <c r="H10" i="8"/>
  <c r="H11" i="8"/>
  <c r="H14" i="8"/>
  <c r="H15" i="8"/>
  <c r="H12" i="8" l="1"/>
  <c r="H16" i="8"/>
  <c r="H7" i="8"/>
  <c r="G9" i="52"/>
  <c r="C18" i="8"/>
  <c r="C19" i="8" s="1"/>
  <c r="B21" i="8" s="1"/>
  <c r="E12" i="25"/>
  <c r="F12" i="25" s="1"/>
  <c r="F2" i="21" l="1"/>
  <c r="E2" i="21"/>
  <c r="C12" i="19"/>
  <c r="B12" i="19"/>
  <c r="E2" i="19"/>
  <c r="G2" i="5"/>
  <c r="C23" i="8"/>
  <c r="C28" i="8" s="1"/>
  <c r="E4" i="21" l="1"/>
  <c r="E5" i="21"/>
  <c r="E6" i="21"/>
  <c r="E7" i="21"/>
  <c r="E8" i="21"/>
  <c r="E3" i="21"/>
  <c r="E13" i="21" l="1"/>
  <c r="D43" i="25"/>
  <c r="E42" i="25"/>
  <c r="F42" i="25" s="1"/>
  <c r="E41" i="25"/>
  <c r="F41" i="25" s="1"/>
  <c r="E40" i="25"/>
  <c r="F40" i="25" s="1"/>
  <c r="E39" i="25"/>
  <c r="E38" i="25"/>
  <c r="F38" i="25" s="1"/>
  <c r="E37" i="25"/>
  <c r="F37" i="25" s="1"/>
  <c r="E36" i="25"/>
  <c r="F36" i="25" s="1"/>
  <c r="E35" i="25"/>
  <c r="F35" i="25" s="1"/>
  <c r="E34" i="25"/>
  <c r="F34" i="25" s="1"/>
  <c r="E33" i="25"/>
  <c r="F33" i="25" s="1"/>
  <c r="E32" i="25"/>
  <c r="F32" i="25" s="1"/>
  <c r="E31" i="25"/>
  <c r="F31" i="25" s="1"/>
  <c r="E30" i="25"/>
  <c r="F30" i="25" s="1"/>
  <c r="E29" i="25"/>
  <c r="F29" i="25" s="1"/>
  <c r="E28" i="25"/>
  <c r="F28" i="25" s="1"/>
  <c r="E27" i="25"/>
  <c r="F27" i="25" s="1"/>
  <c r="E26" i="25"/>
  <c r="F26" i="25" s="1"/>
  <c r="E25" i="25"/>
  <c r="F25" i="25" s="1"/>
  <c r="E24" i="25"/>
  <c r="F24" i="25" s="1"/>
  <c r="E23" i="25"/>
  <c r="F23" i="25" s="1"/>
  <c r="E22" i="25"/>
  <c r="F22" i="25" s="1"/>
  <c r="E21" i="25"/>
  <c r="F21" i="25" s="1"/>
  <c r="E20" i="25"/>
  <c r="F20" i="25" s="1"/>
  <c r="E19" i="25"/>
  <c r="F19" i="25" s="1"/>
  <c r="E18" i="25"/>
  <c r="F18" i="25" s="1"/>
  <c r="E17" i="25"/>
  <c r="F17" i="25" s="1"/>
  <c r="E16" i="25"/>
  <c r="F16" i="25" s="1"/>
  <c r="E15" i="25"/>
  <c r="E14" i="25"/>
  <c r="F14" i="25" s="1"/>
  <c r="E13" i="25"/>
  <c r="F13" i="25" s="1"/>
  <c r="E11" i="25"/>
  <c r="E10" i="25"/>
  <c r="F10" i="25" s="1"/>
  <c r="E9" i="25"/>
  <c r="F9" i="25" s="1"/>
  <c r="E8" i="25"/>
  <c r="F8" i="25" s="1"/>
  <c r="E7" i="25"/>
  <c r="F7" i="25" s="1"/>
  <c r="E5" i="25"/>
  <c r="F5" i="25" s="1"/>
  <c r="G8" i="5"/>
  <c r="G4" i="5"/>
  <c r="G5" i="5"/>
  <c r="G6" i="5"/>
  <c r="G7" i="5"/>
  <c r="F4" i="21"/>
  <c r="F5" i="21"/>
  <c r="F6" i="21"/>
  <c r="F7" i="21"/>
  <c r="F8" i="21"/>
  <c r="F3" i="21"/>
  <c r="E11" i="19"/>
  <c r="E10" i="19"/>
  <c r="E9" i="19"/>
  <c r="E8" i="19"/>
  <c r="E7" i="19"/>
  <c r="E6" i="19"/>
  <c r="E5" i="19"/>
  <c r="E4" i="19"/>
  <c r="E3" i="19"/>
  <c r="F13" i="21" l="1"/>
  <c r="E12" i="19"/>
  <c r="E43" i="25"/>
  <c r="F43" i="25" s="1"/>
  <c r="F11" i="25"/>
  <c r="H8" i="13"/>
  <c r="G9" i="14"/>
  <c r="D20" i="19" l="1"/>
  <c r="D23" i="19"/>
  <c r="C18" i="21"/>
  <c r="H10" i="18"/>
  <c r="H14" i="18" l="1"/>
  <c r="I10" i="18"/>
  <c r="J10" i="18" l="1"/>
  <c r="I14" i="18"/>
  <c r="J14" i="18" s="1"/>
  <c r="G3" i="5"/>
  <c r="G10" i="5" s="1"/>
  <c r="G14" i="5" s="1"/>
  <c r="G15" i="5"/>
  <c r="G16" i="5" l="1"/>
  <c r="G18" i="5" s="1"/>
</calcChain>
</file>

<file path=xl/sharedStrings.xml><?xml version="1.0" encoding="utf-8"?>
<sst xmlns="http://schemas.openxmlformats.org/spreadsheetml/2006/main" count="469" uniqueCount="413">
  <si>
    <t>NAME</t>
  </si>
  <si>
    <t>RETIREMENT</t>
  </si>
  <si>
    <t>Ramos</t>
  </si>
  <si>
    <t>Keena</t>
  </si>
  <si>
    <t>TOTAL</t>
  </si>
  <si>
    <t>Regular</t>
  </si>
  <si>
    <t>Elected</t>
  </si>
  <si>
    <t>Hopkins</t>
  </si>
  <si>
    <t>Agudelo, Alex</t>
  </si>
  <si>
    <t>Dalonzo, Johnny</t>
  </si>
  <si>
    <t>Long, Nicco</t>
  </si>
  <si>
    <t>Mezina, Hendrick</t>
  </si>
  <si>
    <t>Hollingsworth, Jennifer</t>
  </si>
  <si>
    <t>Butler, Brett</t>
  </si>
  <si>
    <t>Hopkins, Diana</t>
  </si>
  <si>
    <t>Ramos, Arnold</t>
  </si>
  <si>
    <t>Keena, JB</t>
  </si>
  <si>
    <t>Sick Leave Cash-in (Hrs)</t>
  </si>
  <si>
    <t>Sick Leave Cash-in Value</t>
  </si>
  <si>
    <t>Acct. No.</t>
  </si>
  <si>
    <t>Description</t>
  </si>
  <si>
    <t>Net Change</t>
  </si>
  <si>
    <t>% Change</t>
  </si>
  <si>
    <t>Tax - Medicare</t>
  </si>
  <si>
    <t>Payroll - Taxable Fringe Benefits</t>
  </si>
  <si>
    <t>Tax - Social Security</t>
  </si>
  <si>
    <t>Insurance - Health &amp; Life</t>
  </si>
  <si>
    <t>Insurance - Worker's Compensation</t>
  </si>
  <si>
    <t>Unemployment Compensation</t>
  </si>
  <si>
    <t>Engineering</t>
  </si>
  <si>
    <t>Legal &amp; Professional</t>
  </si>
  <si>
    <t>Audit</t>
  </si>
  <si>
    <t>Independent services</t>
  </si>
  <si>
    <t>Travel &amp; Conferences</t>
  </si>
  <si>
    <t>Telephone/Cellphone Expenses</t>
  </si>
  <si>
    <t>Water &amp; Sewer</t>
  </si>
  <si>
    <t>Electric</t>
  </si>
  <si>
    <t>Insurance - General Liability</t>
  </si>
  <si>
    <t>M&amp;R - Auto,Truck</t>
  </si>
  <si>
    <t>M&amp;R - Buildings</t>
  </si>
  <si>
    <t>M&amp;R - Canals</t>
  </si>
  <si>
    <t>M&amp;R - Equipment</t>
  </si>
  <si>
    <t>M&amp;R - Pumps, Engines</t>
  </si>
  <si>
    <t>M&amp;R - Radios</t>
  </si>
  <si>
    <t>M&amp;R - Yards</t>
  </si>
  <si>
    <t>Bank Charges</t>
  </si>
  <si>
    <t xml:space="preserve">Office Supplies </t>
  </si>
  <si>
    <t>Auto - Fuel,Oil</t>
  </si>
  <si>
    <t>LP/Natural Gas</t>
  </si>
  <si>
    <t>Shop Supplies</t>
  </si>
  <si>
    <t>Capital Expenditures</t>
  </si>
  <si>
    <t>TOTALS</t>
  </si>
  <si>
    <t>Brett Butler Vehicle Mileage:</t>
  </si>
  <si>
    <t>Medicare Tax - Employer Contribution:</t>
  </si>
  <si>
    <t>IRS Tax Rate (% x 100)</t>
  </si>
  <si>
    <t>Medicare Tax ($)</t>
  </si>
  <si>
    <t>Social Security Tax - Employer Contribution:</t>
  </si>
  <si>
    <t>Social Sec. Tax ($)</t>
  </si>
  <si>
    <t>ENGINEERING CONSULTANT SERVICES</t>
  </si>
  <si>
    <t>UNEMPLOYMENT COMPENSATION</t>
  </si>
  <si>
    <t>NO BUDGET FOR PREVIOUS YEARS</t>
  </si>
  <si>
    <t>Dues, Licenses, Certifications</t>
  </si>
  <si>
    <t>Expenses for employee medical, dental, vision, and life insurance premiums</t>
  </si>
  <si>
    <t>Unemployment compensation expenses as required by state law</t>
  </si>
  <si>
    <t xml:space="preserve"> District Engineer or other engineering services</t>
  </si>
  <si>
    <t>Employee worker's compensation insurance premiums</t>
  </si>
  <si>
    <t>Employer cost share of federal social security  tax</t>
  </si>
  <si>
    <t>Employer cost share of federal medicare tax</t>
  </si>
  <si>
    <t>Employee insurance and vehicle fringe benefits</t>
  </si>
  <si>
    <t>District Attorney or other legal counsel services</t>
  </si>
  <si>
    <t>Independent accountant services; automated payroll/timekeeping services</t>
  </si>
  <si>
    <t>IT Services; alarm system services; surveillance system services</t>
  </si>
  <si>
    <t>Conference, travel, food, and related expenses for FASD, FSA and Aquatics</t>
  </si>
  <si>
    <t>Office telephone and employee cellular phone services</t>
  </si>
  <si>
    <t>City of Plantation potable water and sanitary sewer expenses</t>
  </si>
  <si>
    <t>FPL electricity expenses</t>
  </si>
  <si>
    <t>Maintance/Repair expenses for three (3) pickup trucks and one (1) dump truck</t>
  </si>
  <si>
    <t>Maintenance/Repair expenses for all District owned waterways</t>
  </si>
  <si>
    <t>Maintenance/Repair expenses for (1) crane truck, (2) tractors, and (3) boats</t>
  </si>
  <si>
    <t>Maintenance/Repair expenses for (15) flood control engine/pump assemblies</t>
  </si>
  <si>
    <t>Motorola 2-way radio service, maintenance, and repairs</t>
  </si>
  <si>
    <t>Bank service fees</t>
  </si>
  <si>
    <t>Applicable public advertisement expenses for District business</t>
  </si>
  <si>
    <t>Office supply expenses</t>
  </si>
  <si>
    <t>Gasoline/Diesel fuel expenses for District vehicles and equipment</t>
  </si>
  <si>
    <t>LP/Natural Gas fuel for District flood control engines and emergency generators</t>
  </si>
  <si>
    <t>District shop supplies and small equipment</t>
  </si>
  <si>
    <t>Maintenance/Repair and small equipment expenses for all District grounds</t>
  </si>
  <si>
    <t>Maintenance/Repair and small equipment  expenses for District owned buildings</t>
  </si>
  <si>
    <t>Employee uniforms, safety shoes, and personal protection equipment (PPE)</t>
  </si>
  <si>
    <t>FASD and FSA membership dues.  Aquatics applicator and prof. engineer licenses</t>
  </si>
  <si>
    <t>Literature purchases or subscriptions for District business</t>
  </si>
  <si>
    <t>Various capital projects or purchases</t>
  </si>
  <si>
    <t>ACCT. NO.</t>
  </si>
  <si>
    <t>DESCRIPTION</t>
  </si>
  <si>
    <t>PERMITS AND LICENSES</t>
  </si>
  <si>
    <t>AQUATIC WEED CONTROL</t>
  </si>
  <si>
    <t>INTEREST INCOME - SBA</t>
  </si>
  <si>
    <t>RENTS AND LEASES</t>
  </si>
  <si>
    <t>FLOOD CONTROL NON-AD VALOREM TAXES</t>
  </si>
  <si>
    <t>INTEREST INCOME - OTHER SOURCES</t>
  </si>
  <si>
    <t>SALE OF FIXED ASSETS</t>
  </si>
  <si>
    <t>MISCELLANEOUS REVENUE</t>
  </si>
  <si>
    <t>NET CHG</t>
  </si>
  <si>
    <t>% CHG</t>
  </si>
  <si>
    <t>ACCOUNT INFORMATION</t>
  </si>
  <si>
    <t>Permit/License fees collected by the District</t>
  </si>
  <si>
    <t>Interest earnings on fees, rents, leases, etc.</t>
  </si>
  <si>
    <t xml:space="preserve">Wireless telecommunications rental/lease fees </t>
  </si>
  <si>
    <t xml:space="preserve">Non-ad valorem flood control assessment per Ch. 298 F.S.S. </t>
  </si>
  <si>
    <t>Revenue from sale of District assets (ex: vehicles, equipment)</t>
  </si>
  <si>
    <t>Other miscellaneous revenues collected from time to time</t>
  </si>
  <si>
    <t>Compensation Unused Accruals</t>
  </si>
  <si>
    <t>Compensation for employee voluntary cash-in of unused vacation or sick leave accruals</t>
  </si>
  <si>
    <t xml:space="preserve"> Advertising</t>
  </si>
  <si>
    <t xml:space="preserve">PRIOR YEARS SURPLUS </t>
  </si>
  <si>
    <t>Annual Leave Cash-in (Hrs)</t>
  </si>
  <si>
    <t>Annual Leave Cash-in Value</t>
  </si>
  <si>
    <t xml:space="preserve"> TOTAL COMPENSATION</t>
  </si>
  <si>
    <t>Longevity Bonus</t>
  </si>
  <si>
    <t>PAYROLL EXPENSES</t>
  </si>
  <si>
    <t>N/A</t>
  </si>
  <si>
    <t>Yrly Hrs. or Mo.</t>
  </si>
  <si>
    <t xml:space="preserve">Overtime Budget </t>
  </si>
  <si>
    <t>FRS Amount</t>
  </si>
  <si>
    <t>Perform. Bonus</t>
  </si>
  <si>
    <t>General liability, property, auto, crime, inland marine, and public officials ins. premiums</t>
  </si>
  <si>
    <t>Current</t>
  </si>
  <si>
    <t>Proposed</t>
  </si>
  <si>
    <t xml:space="preserve"> IT/Security</t>
  </si>
  <si>
    <t>Uniforms/Shoes/PPE</t>
  </si>
  <si>
    <t>Books,Subscriptions,Manuals</t>
  </si>
  <si>
    <t>ROBERT FERRIS  - DISTRICT ATTORNEY</t>
  </si>
  <si>
    <t>Basic monthly fee = $900/month x 12 = $10,800</t>
  </si>
  <si>
    <t>FSA Conferences (2) - Superintendent</t>
  </si>
  <si>
    <t>FY2022 ASSESSMENT = $180.49</t>
  </si>
  <si>
    <t>FY2021 ASSESSMENT = $180.49</t>
  </si>
  <si>
    <t>Estimated HRA Expenses</t>
  </si>
  <si>
    <t>Health Equity Admin Fees</t>
  </si>
  <si>
    <t>Verizon Lease:</t>
  </si>
  <si>
    <t>$1,600/month x 12 = $19,200 for basic services</t>
  </si>
  <si>
    <t>CONTINGENCY (2%)</t>
  </si>
  <si>
    <t>Brett Butler Medical Reimb.</t>
  </si>
  <si>
    <t>MERIT INC</t>
  </si>
  <si>
    <t>Brett Butler Life Ins. Policy</t>
  </si>
  <si>
    <t>CLASS</t>
  </si>
  <si>
    <t>Total Rate</t>
  </si>
  <si>
    <t>Hollingsworth, J.</t>
  </si>
  <si>
    <t>Employer + Employee contributions to Florida Retirement System (FRS)</t>
  </si>
  <si>
    <t xml:space="preserve">Tax-Retirement </t>
  </si>
  <si>
    <t>SUBTOTAL</t>
  </si>
  <si>
    <t>Total Retirement</t>
  </si>
  <si>
    <t>3.2 miles x 2 x 2 times/day = 12.8 miles</t>
  </si>
  <si>
    <t>12.8 miles x 10 days = 128 miles/pay period</t>
  </si>
  <si>
    <t>5 Year History</t>
  </si>
  <si>
    <t xml:space="preserve">OVERTIME BUDGET (1.5 x combined field hr rate x 64 hr) </t>
  </si>
  <si>
    <t>BCPA - Assessment Collection Svc</t>
  </si>
  <si>
    <t>FY2024</t>
  </si>
  <si>
    <t>FY24  Rate</t>
  </si>
  <si>
    <t>FY2024 BUDGET</t>
  </si>
  <si>
    <t>128 miles x $0.655/mile = $83.84/pay period rounded to $84</t>
  </si>
  <si>
    <t>$84 x 26 = $2236 round to $2,184/year</t>
  </si>
  <si>
    <t>FY 24 SALARY</t>
  </si>
  <si>
    <t>SMSC</t>
  </si>
  <si>
    <t>Employee Rate</t>
  </si>
  <si>
    <t>Dental (monthly)</t>
  </si>
  <si>
    <t>Vision (monthly)</t>
  </si>
  <si>
    <t>Life Ins. (monthly)</t>
  </si>
  <si>
    <t>Monthly Subtotals</t>
  </si>
  <si>
    <t>Annual Totals</t>
  </si>
  <si>
    <t>Foster &amp; Foster GASB 75 OPEB = $1,050</t>
  </si>
  <si>
    <t>Grau &amp; Assoc. GASB 87   = Assume 3 leases x $300/lease = $900</t>
  </si>
  <si>
    <t>Computer Software:</t>
  </si>
  <si>
    <t xml:space="preserve">(2) Microsoft 365 G3 Licenses </t>
  </si>
  <si>
    <t>(2) Adobe Licenses</t>
  </si>
  <si>
    <t>Alarm Systems Security = $2,200</t>
  </si>
  <si>
    <t>FASD Meetings (4) - Superintendent</t>
  </si>
  <si>
    <t>RingCentral VOIP Phone Service</t>
  </si>
  <si>
    <t>Verizon Internet Service</t>
  </si>
  <si>
    <t>Verizon Cell Phone Service</t>
  </si>
  <si>
    <t>Total</t>
  </si>
  <si>
    <t xml:space="preserve">Estimated Accountant Fees </t>
  </si>
  <si>
    <t xml:space="preserve">Other Independent Svcs Est. </t>
  </si>
  <si>
    <t>City of Plantation Water &amp; Sewer</t>
  </si>
  <si>
    <t>New Image Cleaning Service</t>
  </si>
  <si>
    <t xml:space="preserve">Assume 10% rate increase  </t>
  </si>
  <si>
    <t xml:space="preserve">Assume 10% useage increase  </t>
  </si>
  <si>
    <t>Add for unplanned events</t>
  </si>
  <si>
    <t>Helena Herbicides</t>
  </si>
  <si>
    <t>Motorola Radio Service</t>
  </si>
  <si>
    <t>FY2024 Auto-Fuel and Oil</t>
  </si>
  <si>
    <t>Add for uplanned events</t>
  </si>
  <si>
    <t>Safety Shoe Allowance - 6 staff @ $200</t>
  </si>
  <si>
    <t>Cintas First Aid Service (Estimate)</t>
  </si>
  <si>
    <t>Unplanned Events</t>
  </si>
  <si>
    <t>FSA Membership</t>
  </si>
  <si>
    <t>FASD Membership</t>
  </si>
  <si>
    <t>PE License</t>
  </si>
  <si>
    <t>SFAPMS Membership</t>
  </si>
  <si>
    <t>FY2024 Rents and Leases Revenue</t>
  </si>
  <si>
    <t>Employee Payroll</t>
  </si>
  <si>
    <t>Board Member Payroll</t>
  </si>
  <si>
    <t>Unencumbered available revenue in Prime Account</t>
  </si>
  <si>
    <t>Interest earnings on flood control assessment revenue</t>
  </si>
  <si>
    <t>County Dump Fees-Canal Bank Vegetation Removal</t>
  </si>
  <si>
    <t>Waste Management Fees</t>
  </si>
  <si>
    <t>Various maintenance/repairs</t>
  </si>
  <si>
    <t>Annual audit performed by independent auditing firm</t>
  </si>
  <si>
    <t>Separate account for Board member salaries required for auditing purposes</t>
  </si>
  <si>
    <t>Employee salaries and other approved compensation</t>
  </si>
  <si>
    <t>BC Property Appraiser fee to administer collection of District non-ad valorem assessment</t>
  </si>
  <si>
    <t>New Office Furniture</t>
  </si>
  <si>
    <t>NOIP Application - 2YR</t>
  </si>
  <si>
    <t>Streamline Website Management</t>
  </si>
  <si>
    <t>Superintendent - $600</t>
  </si>
  <si>
    <t>FY2024 Budget Estimate = $1,000</t>
  </si>
  <si>
    <t>Sean Rheom IT (est.) = $5,000</t>
  </si>
  <si>
    <t>Paychex Flex PRO</t>
  </si>
  <si>
    <t>Paychex Flex Time</t>
  </si>
  <si>
    <t>$3,000 estimated for license agreements</t>
  </si>
  <si>
    <t>Health &amp; Life  Insurance Total</t>
  </si>
  <si>
    <t>Cintas Uniforms- 5 field staff</t>
  </si>
  <si>
    <t>Broward Backflow Prevention</t>
  </si>
  <si>
    <t>District Budget Amount</t>
  </si>
  <si>
    <t xml:space="preserve"> </t>
  </si>
  <si>
    <t>Gonzalez, Hancel</t>
  </si>
  <si>
    <t>All Costs Subtotal</t>
  </si>
  <si>
    <t>FY2024 Policy (EGIS)</t>
  </si>
  <si>
    <t>Hancel Gonzalez</t>
  </si>
  <si>
    <t>Verizon iWatch Service</t>
  </si>
  <si>
    <t>FY24 Rate</t>
  </si>
  <si>
    <t>FY 2024 Salary</t>
  </si>
  <si>
    <t>FY25  Rate</t>
  </si>
  <si>
    <t>FY2025 Salary</t>
  </si>
  <si>
    <t xml:space="preserve">FY2025 Budget = $2,200 </t>
  </si>
  <si>
    <t>FY2025 BUDGET</t>
  </si>
  <si>
    <t>FY2025 Fringe Benefits</t>
  </si>
  <si>
    <t>FY24 Hrly Rate</t>
  </si>
  <si>
    <t>FY2024 Medicare Tax Budget = $7,700.00</t>
  </si>
  <si>
    <t>FY2024 BCPA Fee for Collection of OPWCD Non-Ad Valorem Special Assessment = $17,200</t>
  </si>
  <si>
    <t>FY2025 Budget = $22,000</t>
  </si>
  <si>
    <t>Best Buy Total Warranty Membership</t>
  </si>
  <si>
    <t>Quickbooks - 2 licenses</t>
  </si>
  <si>
    <t>FY 2025 IT - Security Services</t>
  </si>
  <si>
    <t>FY2025 BUDGET - COMPENSATION</t>
  </si>
  <si>
    <t>FY 25 SALARY</t>
  </si>
  <si>
    <t>2% Contingency</t>
  </si>
  <si>
    <t>2024 Medical (monthly)</t>
  </si>
  <si>
    <t>*2025 Medical (monthly)</t>
  </si>
  <si>
    <t>Alex (43)</t>
  </si>
  <si>
    <t>Alex Wife (39)</t>
  </si>
  <si>
    <t>Alex Child 1 (6)</t>
  </si>
  <si>
    <t>Alex Child 2 (2)</t>
  </si>
  <si>
    <t>Hancel (male 46)</t>
  </si>
  <si>
    <t>Hancel Daughter (19)</t>
  </si>
  <si>
    <t>Hancel Wife (48)</t>
  </si>
  <si>
    <t>Johnny (33)</t>
  </si>
  <si>
    <t>Nicco (33)</t>
  </si>
  <si>
    <t>Hendrick (30)</t>
  </si>
  <si>
    <t>Jennifer (58)</t>
  </si>
  <si>
    <t>Jennifer Child 1 (21)</t>
  </si>
  <si>
    <t>*2024 rate plus 15%</t>
  </si>
  <si>
    <t>Nicco Child 1(1)</t>
  </si>
  <si>
    <t>Nicco Child 2 (0)</t>
  </si>
  <si>
    <t>$6,000 x 4 = $24,000</t>
  </si>
  <si>
    <t>$3,000 x 2 = $6,000</t>
  </si>
  <si>
    <t xml:space="preserve">$30,000/2 = </t>
  </si>
  <si>
    <t>FY2025 Budget</t>
  </si>
  <si>
    <t>FY2025 LEGAL AND PROFESSIONAL FEES</t>
  </si>
  <si>
    <t>FY 2025 ANNUAL AUDIT FEES</t>
  </si>
  <si>
    <t>FY 2025 INDEPENDENT SERVICES FEES</t>
  </si>
  <si>
    <t>AEM Water Level/Flow Software</t>
  </si>
  <si>
    <t>TBD</t>
  </si>
  <si>
    <t>FY2025 Travel and Conferences Expenses</t>
  </si>
  <si>
    <t>FY2025 Communication Services Expenses</t>
  </si>
  <si>
    <t>EAM Water Level/Flow system Cellular Plans</t>
  </si>
  <si>
    <t>TDB</t>
  </si>
  <si>
    <t>FY2025 Water &amp; Sewer Expenses</t>
  </si>
  <si>
    <t>FY2025  Budget = $2,600</t>
  </si>
  <si>
    <t>FY2025 Electric Expenses</t>
  </si>
  <si>
    <t>FPL 12 months 1/2023-12/2023</t>
  </si>
  <si>
    <t>FY2025 Buildings Maintenance and Repairs</t>
  </si>
  <si>
    <t>FY2025  Budget = $15,000</t>
  </si>
  <si>
    <t>FY2025 Auto-Truck Maintenance and Repairs</t>
  </si>
  <si>
    <t>Last 12 months January 23 - Dember 23</t>
  </si>
  <si>
    <t>FY2025 Canals Maintenance and Repairs</t>
  </si>
  <si>
    <t>FY2025  Budget = $135,000</t>
  </si>
  <si>
    <t>Last 12 months 1/23 - 12/23</t>
  </si>
  <si>
    <t>FY2025 Equipment Maintenance and Repairs</t>
  </si>
  <si>
    <t>FY2025 Engines-Pumps Maintenance and Repairs</t>
  </si>
  <si>
    <t>FY2025  Budget = $1,600</t>
  </si>
  <si>
    <t>FY2025 Radio Maintenance and Repairs</t>
  </si>
  <si>
    <t>New Landscaping  - Headquarters</t>
  </si>
  <si>
    <t>New Irrigation System - Headquarters</t>
  </si>
  <si>
    <t>FY2025 Yards Maintenance and Repairs</t>
  </si>
  <si>
    <t>*See Note</t>
  </si>
  <si>
    <t>* NOTE:  Hourly increase for Johnny Dalonzo includes 5% merit increase plus 5% raise for promotion to Foreman</t>
  </si>
  <si>
    <t xml:space="preserve">Dalonzo, Johnny </t>
  </si>
  <si>
    <t>FY2025 Payroll ($)</t>
  </si>
  <si>
    <t>FY2025 Advertising Expenses</t>
  </si>
  <si>
    <t>FY2025 Bank Charges</t>
  </si>
  <si>
    <t>FY2025 Office Supplies</t>
  </si>
  <si>
    <t>FY2025 LP and Natural Gas Expenses</t>
  </si>
  <si>
    <t>FY2025 Shop Supplies</t>
  </si>
  <si>
    <t>FY2025 Uniforms, Safety Shoes, PPE</t>
  </si>
  <si>
    <t>FY2025  Budget = $6,000</t>
  </si>
  <si>
    <t>FY2025 Dues and Licenses</t>
  </si>
  <si>
    <t>FY2025  Budget = $15,700</t>
  </si>
  <si>
    <t>FY2025  Budget = $3,300</t>
  </si>
  <si>
    <t>Large repair expenses for boom truck, dump truck and outboard motors</t>
  </si>
  <si>
    <t>Do not anticipate these same large expenses for FY2025</t>
  </si>
  <si>
    <t>FY2025  Budget = $30,000</t>
  </si>
  <si>
    <t>FY2025  Budget = $76,100</t>
  </si>
  <si>
    <t>FY2025  Budget = $8,800</t>
  </si>
  <si>
    <t>FY2025  Budget = $300</t>
  </si>
  <si>
    <t>FY2025  Budget = $6,800</t>
  </si>
  <si>
    <t>FY2025  Budget = $20,500</t>
  </si>
  <si>
    <t>FY2025  Budget = $35,000</t>
  </si>
  <si>
    <t>FY2025  Budget = $4,500</t>
  </si>
  <si>
    <t>Included large one-time purchases of first aid cabinets through Cintas</t>
  </si>
  <si>
    <t>FY2025</t>
  </si>
  <si>
    <t>FY2024 EGIS Contract</t>
  </si>
  <si>
    <t>Grau &amp; Assoc. FY2024 audit fees = $19,000 not to exceed per Agreement</t>
  </si>
  <si>
    <t>Grau &amp; Assoc. FY2025 audit Fees = $19,000 not to exceed per Agreement</t>
  </si>
  <si>
    <t>Grau &amp; Assoc. FY2026 audit Fees = $19,000 not to exceed per Agreement</t>
  </si>
  <si>
    <t>FY2025 Budget = $21,000</t>
  </si>
  <si>
    <t xml:space="preserve">FASD Annual Conference (4) - Board of Supervisors and Superintendent </t>
  </si>
  <si>
    <t xml:space="preserve">SFAPMS Annual Conference - Superintendent </t>
  </si>
  <si>
    <t>FASD Conferences for CDAP - Admin Assist</t>
  </si>
  <si>
    <t>FY2025 Books and Subscriptions</t>
  </si>
  <si>
    <t>FY2025 Budget = $100</t>
  </si>
  <si>
    <t>New Ground Lease:</t>
  </si>
  <si>
    <t>FY2025:   $35,000 x 1.04 = $36,400</t>
  </si>
  <si>
    <t>T-Mobile/Sprint:</t>
  </si>
  <si>
    <t>FY2025:     $30,000</t>
  </si>
  <si>
    <t>FY2024 Budget = $66,400</t>
  </si>
  <si>
    <t>City of Plantation cancelled District aquatic weed control service</t>
  </si>
  <si>
    <t xml:space="preserve">FY2025 EXPENSE BUDGET = </t>
  </si>
  <si>
    <t xml:space="preserve">FY2025 PROPOSED REVENUE EXCLUDING TAX REVENUE = </t>
  </si>
  <si>
    <t xml:space="preserve">FY2025 REQUIRED TAX REVENUE TO BALANCE BUDGET  = </t>
  </si>
  <si>
    <t xml:space="preserve">FY2025 REQUIRED TOTAL ASSESSMENT VALUE (100%) = </t>
  </si>
  <si>
    <t xml:space="preserve">FY2025 proposed non-ad valorem assessment (BCPA TRIM) =  </t>
  </si>
  <si>
    <t xml:space="preserve">FY2025 NET ASSESSMENT INCREASE = </t>
  </si>
  <si>
    <t>District Criteria Manual Update = $3,300</t>
  </si>
  <si>
    <t>FY2025 Capital Projects</t>
  </si>
  <si>
    <t>FY2024 Actual Cost</t>
  </si>
  <si>
    <t>FY2025 Proposed</t>
  </si>
  <si>
    <t>Assume the District secures grant funds with 50/50 match for projects 1, 5-9:</t>
  </si>
  <si>
    <t>Assume the District secures state appropriations funds for projects 1, 5-9 with District 25% match of remaining balance:</t>
  </si>
  <si>
    <t>FY2025 ASSESSMENT = $205.62     $0.00 INCREASE</t>
  </si>
  <si>
    <t>FY2023 ASSESSMENT = $200.59</t>
  </si>
  <si>
    <t>$20.10 INCREASE</t>
  </si>
  <si>
    <t>$6.53 INCREASE</t>
  </si>
  <si>
    <t>$0.00 INCREASE</t>
  </si>
  <si>
    <t xml:space="preserve">FY2024 ASSESSMENT = $205.62   </t>
  </si>
  <si>
    <t>$5.03 INCREASE</t>
  </si>
  <si>
    <t>Station 4 Pumps Repairs/Replacement</t>
  </si>
  <si>
    <t>Station 4 Pump Intake Bays Floor Re-Construction</t>
  </si>
  <si>
    <t>Station 4 Pumps Intake Piping Repairs</t>
  </si>
  <si>
    <t>Station 1 Sluice Gate Replacement</t>
  </si>
  <si>
    <t xml:space="preserve">Stations Cowling Replacement/Exhaust Pipe Insulation </t>
  </si>
  <si>
    <t>Cellular plans for buildings alarm system</t>
  </si>
  <si>
    <t>Estimated plan review fees = $16,500</t>
  </si>
  <si>
    <t>FY2025 Budget = $30,600</t>
  </si>
  <si>
    <t>Latour Fire - Fire Extinguisher Insp.</t>
  </si>
  <si>
    <t>FY2025 Budget = $11,800</t>
  </si>
  <si>
    <t>$3,000 estimated for Verizon and T-Mobile leases</t>
  </si>
  <si>
    <t xml:space="preserve">SFAPMS Annual Conference - Hendrick  </t>
  </si>
  <si>
    <t>Aquatic Herbicide Licenses - 4 staff</t>
  </si>
  <si>
    <t>(6) Staff and (3) elected officials - $4,090</t>
  </si>
  <si>
    <t>Two (2) Verizon data-only plans for alarm systems</t>
  </si>
  <si>
    <t>messaging and emails.</t>
  </si>
  <si>
    <t xml:space="preserve">District issued cell phones  required due to public records law on text </t>
  </si>
  <si>
    <t>FY2024  Budget = $8,400</t>
  </si>
  <si>
    <t>FY2025  Budget = $500</t>
  </si>
  <si>
    <t>Pump Station 3/Bay 4 Trash  Grate Replacement</t>
  </si>
  <si>
    <t>Automated Water Level/Flow Monitoring Pilot Project - Pump Station 2</t>
  </si>
  <si>
    <t>incl. in #1 above</t>
  </si>
  <si>
    <t xml:space="preserve">Should District not secure state appropriations or grant funds, projects 5-9 only will be funded for FY2025 = </t>
  </si>
  <si>
    <t>FY2025 Social Security Tax Budget = $32,600</t>
  </si>
  <si>
    <t xml:space="preserve">FY2024 ASSESSMENT = </t>
  </si>
  <si>
    <t>Automated Water Level Monitoring Imp. Phase 2</t>
  </si>
  <si>
    <t xml:space="preserve">FY2025 TOTAL ASSESSMENT ACREAGE (BCPA June 2024) = </t>
  </si>
  <si>
    <t>Lewis Walker Longman Lobbyist</t>
  </si>
  <si>
    <t>FY2025 Budget = $75,200</t>
  </si>
  <si>
    <t>Legal &amp; Professional:  increased from $25,200 to $75,200</t>
  </si>
  <si>
    <t>Emergency Generators Phase 1 (3 Pump Stations Only)</t>
  </si>
  <si>
    <t>Station Engines Automation Phase 1 - Stations 2, 3, and 4</t>
  </si>
  <si>
    <t>FY25 RETIREMENT %</t>
  </si>
  <si>
    <t>FY2025 Budget = $127,300</t>
  </si>
  <si>
    <t>Tax/Retirement:  increased from $127,100 to $127,300</t>
  </si>
  <si>
    <t>Computer Hardware (est.) = $2,600</t>
  </si>
  <si>
    <t>FY2025 Budget  = $20,000</t>
  </si>
  <si>
    <t>IT/Security:  increased from $19,600 to $20,000</t>
  </si>
  <si>
    <t>*Rates verified in 2024 legislative session and effective 7/1/2024</t>
  </si>
  <si>
    <t>*Employer Rate 7/24-6/25</t>
  </si>
  <si>
    <t>(potential increases for 7/1/25-9/30/25)</t>
  </si>
  <si>
    <t>FY2025  Budget = $3,800</t>
  </si>
  <si>
    <t>Dues &amp; Licenses:  Increased from $3,550 to $3,800</t>
  </si>
  <si>
    <t xml:space="preserve">FY2025  Budget = $16,700  </t>
  </si>
  <si>
    <t>Travel - Conferences:   Decreased fronm $17,000 to $16,700</t>
  </si>
  <si>
    <t>Rents and Leases reduced from $65,000 to $62,200 - Verizon and T-Mobile lease terminations</t>
  </si>
  <si>
    <t>Prior Years Surplus increased from $399,400 to $402,200 - make up for lease revenue reduction</t>
  </si>
  <si>
    <t>EGIS Proposal dated 9-10-2024</t>
  </si>
  <si>
    <t>FY2025 Budget = $79,500</t>
  </si>
  <si>
    <t>FY202 Policy (EGIS)</t>
  </si>
  <si>
    <t>Worker's Comp. Insurance reduced from $8,800 to $8,100</t>
  </si>
  <si>
    <t>General Liability Insurance increased from $73,000 to $79,500</t>
  </si>
  <si>
    <t>Budget reduction for in-house assembly of grate in liue of contactor assembly</t>
  </si>
  <si>
    <t xml:space="preserve">$798,350 x 0.50  </t>
  </si>
  <si>
    <t>$399,175 x 0.75</t>
  </si>
  <si>
    <t>District matching funds  = $798,350 - $399,175 - $299,381</t>
  </si>
  <si>
    <t>Capital Expenditures:  reduced from $374,750 to $318,400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</si>
</sst>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0_);[Red]\(0.00\)"/>
    <numFmt numFmtId="167" formatCode="0.000"/>
    <numFmt numFmtId="168" formatCode="#,##0.000_);[Red]\(#,##0.000\)"/>
  </numFmts>
  <fonts count="41" x14ac:knownFonts="1">
    <font>
      <sz val="11"/>
      <color theme="1"/>
      <name val="Calibri"/>
      <family val="2"/>
      <scheme val="minor"/>
    </font>
    <font>
      <b/>
      <sz val="14"/>
      <name val="Tahoma"/>
      <family val="2"/>
    </font>
    <font>
      <sz val="14"/>
      <name val="Tahoma"/>
      <family val="2"/>
    </font>
    <font>
      <b/>
      <sz val="14"/>
      <color indexed="8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2"/>
      <name val="Century Schoolbook"/>
      <family val="1"/>
    </font>
    <font>
      <sz val="10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Tahoma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ahoma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Tahoma"/>
      <family val="2"/>
    </font>
    <font>
      <sz val="14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top" wrapText="1"/>
    </xf>
    <xf numFmtId="0" fontId="2" fillId="0" borderId="2" xfId="0" applyFont="1" applyBorder="1"/>
    <xf numFmtId="10" fontId="2" fillId="0" borderId="2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1" fillId="0" borderId="0" xfId="0" applyNumberFormat="1" applyFont="1"/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4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9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3" fontId="1" fillId="0" borderId="0" xfId="1" applyNumberFormat="1" applyFont="1" applyAlignment="1">
      <alignment horizontal="center" vertical="top" wrapText="1"/>
    </xf>
    <xf numFmtId="3" fontId="2" fillId="0" borderId="0" xfId="1" applyNumberFormat="1" applyFont="1" applyAlignment="1">
      <alignment horizontal="center" vertical="top" wrapText="1"/>
    </xf>
    <xf numFmtId="164" fontId="5" fillId="0" borderId="2" xfId="1" applyNumberFormat="1" applyFont="1" applyBorder="1"/>
    <xf numFmtId="0" fontId="5" fillId="0" borderId="2" xfId="1" applyFont="1" applyBorder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3" fontId="2" fillId="0" borderId="2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4" fontId="2" fillId="0" borderId="2" xfId="1" applyNumberFormat="1" applyFont="1" applyBorder="1"/>
    <xf numFmtId="0" fontId="2" fillId="0" borderId="10" xfId="0" applyFont="1" applyBorder="1"/>
    <xf numFmtId="164" fontId="2" fillId="0" borderId="10" xfId="0" applyNumberFormat="1" applyFont="1" applyBorder="1"/>
    <xf numFmtId="6" fontId="1" fillId="0" borderId="0" xfId="1" applyNumberFormat="1" applyFont="1" applyAlignment="1">
      <alignment horizontal="right"/>
    </xf>
    <xf numFmtId="6" fontId="8" fillId="0" borderId="0" xfId="1" applyNumberFormat="1" applyFont="1" applyAlignment="1">
      <alignment horizontal="right" vertical="top" wrapText="1"/>
    </xf>
    <xf numFmtId="10" fontId="2" fillId="0" borderId="0" xfId="1" applyNumberFormat="1" applyFont="1"/>
    <xf numFmtId="8" fontId="2" fillId="0" borderId="0" xfId="1" applyNumberFormat="1" applyFont="1" applyAlignment="1">
      <alignment horizontal="right" vertical="top" wrapText="1"/>
    </xf>
    <xf numFmtId="0" fontId="5" fillId="0" borderId="11" xfId="1" applyFont="1" applyBorder="1"/>
    <xf numFmtId="0" fontId="5" fillId="0" borderId="12" xfId="1" applyFont="1" applyBorder="1" applyAlignment="1">
      <alignment horizontal="left"/>
    </xf>
    <xf numFmtId="0" fontId="1" fillId="0" borderId="0" xfId="0" applyFont="1"/>
    <xf numFmtId="0" fontId="1" fillId="0" borderId="14" xfId="1" applyFont="1" applyBorder="1" applyAlignment="1">
      <alignment horizontal="center" wrapText="1"/>
    </xf>
    <xf numFmtId="0" fontId="1" fillId="0" borderId="13" xfId="1" applyFont="1" applyBorder="1" applyAlignment="1">
      <alignment horizontal="center" vertical="top" wrapText="1"/>
    </xf>
    <xf numFmtId="8" fontId="2" fillId="0" borderId="13" xfId="1" applyNumberFormat="1" applyFont="1" applyBorder="1" applyAlignment="1">
      <alignment horizontal="center" vertical="top" wrapText="1"/>
    </xf>
    <xf numFmtId="3" fontId="2" fillId="0" borderId="17" xfId="1" applyNumberFormat="1" applyFont="1" applyBorder="1" applyAlignment="1">
      <alignment horizontal="center" vertical="top" wrapText="1"/>
    </xf>
    <xf numFmtId="8" fontId="2" fillId="0" borderId="17" xfId="1" applyNumberFormat="1" applyFont="1" applyBorder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7" fillId="0" borderId="0" xfId="0" applyFont="1"/>
    <xf numFmtId="167" fontId="0" fillId="0" borderId="0" xfId="0" applyNumberFormat="1"/>
    <xf numFmtId="8" fontId="14" fillId="0" borderId="0" xfId="0" applyNumberFormat="1" applyFont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8" fontId="2" fillId="0" borderId="19" xfId="1" applyNumberFormat="1" applyFont="1" applyBorder="1" applyAlignment="1">
      <alignment horizontal="center" vertical="top" wrapText="1"/>
    </xf>
    <xf numFmtId="8" fontId="2" fillId="0" borderId="20" xfId="1" applyNumberFormat="1" applyFont="1" applyBorder="1" applyAlignment="1">
      <alignment horizontal="center" vertical="top" wrapText="1"/>
    </xf>
    <xf numFmtId="165" fontId="1" fillId="0" borderId="16" xfId="1" applyNumberFormat="1" applyFont="1" applyBorder="1" applyAlignment="1">
      <alignment horizontal="center" vertical="top" wrapText="1"/>
    </xf>
    <xf numFmtId="165" fontId="15" fillId="0" borderId="0" xfId="0" applyNumberFormat="1" applyFont="1" applyAlignment="1">
      <alignment horizontal="center" vertical="center"/>
    </xf>
    <xf numFmtId="164" fontId="2" fillId="0" borderId="15" xfId="1" applyNumberFormat="1" applyFont="1" applyBorder="1"/>
    <xf numFmtId="0" fontId="1" fillId="0" borderId="13" xfId="1" applyFont="1" applyBorder="1" applyAlignment="1">
      <alignment horizontal="center" wrapText="1"/>
    </xf>
    <xf numFmtId="164" fontId="2" fillId="0" borderId="13" xfId="1" applyNumberFormat="1" applyFont="1" applyBorder="1" applyAlignment="1">
      <alignment horizontal="right" vertical="top" wrapText="1"/>
    </xf>
    <xf numFmtId="164" fontId="5" fillId="0" borderId="13" xfId="1" applyNumberFormat="1" applyFont="1" applyBorder="1"/>
    <xf numFmtId="164" fontId="2" fillId="0" borderId="13" xfId="1" applyNumberFormat="1" applyFont="1" applyBorder="1" applyAlignment="1">
      <alignment horizontal="right" vertical="center" wrapText="1"/>
    </xf>
    <xf numFmtId="164" fontId="2" fillId="0" borderId="21" xfId="1" applyNumberFormat="1" applyFont="1" applyBorder="1"/>
    <xf numFmtId="164" fontId="1" fillId="0" borderId="17" xfId="1" applyNumberFormat="1" applyFont="1" applyBorder="1" applyAlignment="1">
      <alignment horizontal="center" vertical="top" wrapText="1"/>
    </xf>
    <xf numFmtId="164" fontId="2" fillId="0" borderId="22" xfId="1" applyNumberFormat="1" applyFont="1" applyBorder="1"/>
    <xf numFmtId="164" fontId="2" fillId="0" borderId="16" xfId="1" applyNumberFormat="1" applyFont="1" applyBorder="1" applyAlignment="1">
      <alignment horizontal="center" vertical="top" wrapText="1"/>
    </xf>
    <xf numFmtId="0" fontId="4" fillId="0" borderId="18" xfId="1" applyFont="1" applyBorder="1"/>
    <xf numFmtId="164" fontId="5" fillId="0" borderId="16" xfId="1" applyNumberFormat="1" applyFont="1" applyBorder="1"/>
    <xf numFmtId="164" fontId="1" fillId="0" borderId="14" xfId="1" applyNumberFormat="1" applyFont="1" applyBorder="1" applyAlignment="1">
      <alignment horizontal="center" wrapText="1"/>
    </xf>
    <xf numFmtId="3" fontId="2" fillId="0" borderId="15" xfId="1" applyNumberFormat="1" applyFont="1" applyBorder="1"/>
    <xf numFmtId="3" fontId="5" fillId="0" borderId="15" xfId="1" applyNumberFormat="1" applyFont="1" applyBorder="1"/>
    <xf numFmtId="165" fontId="2" fillId="0" borderId="15" xfId="1" applyNumberFormat="1" applyFont="1" applyBorder="1"/>
    <xf numFmtId="165" fontId="5" fillId="0" borderId="15" xfId="1" applyNumberFormat="1" applyFont="1" applyBorder="1"/>
    <xf numFmtId="164" fontId="1" fillId="0" borderId="1" xfId="1" applyNumberFormat="1" applyFont="1" applyBorder="1" applyAlignment="1">
      <alignment horizontal="center" wrapText="1"/>
    </xf>
    <xf numFmtId="9" fontId="1" fillId="0" borderId="14" xfId="1" applyNumberFormat="1" applyFont="1" applyBorder="1" applyAlignment="1">
      <alignment horizontal="center" wrapText="1"/>
    </xf>
    <xf numFmtId="0" fontId="1" fillId="0" borderId="19" xfId="1" applyFont="1" applyBorder="1" applyAlignment="1">
      <alignment horizontal="center" wrapText="1"/>
    </xf>
    <xf numFmtId="164" fontId="5" fillId="0" borderId="19" xfId="1" applyNumberFormat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164" fontId="2" fillId="0" borderId="18" xfId="1" applyNumberFormat="1" applyFont="1" applyBorder="1" applyAlignment="1">
      <alignment horizontal="center" vertical="top" wrapText="1"/>
    </xf>
    <xf numFmtId="165" fontId="5" fillId="0" borderId="17" xfId="1" applyNumberFormat="1" applyFont="1" applyBorder="1"/>
    <xf numFmtId="165" fontId="5" fillId="0" borderId="16" xfId="1" applyNumberFormat="1" applyFont="1" applyBorder="1"/>
    <xf numFmtId="168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8" fontId="0" fillId="0" borderId="0" xfId="0" applyNumberFormat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2" fillId="0" borderId="13" xfId="1" applyNumberFormat="1" applyFont="1" applyBorder="1" applyAlignment="1">
      <alignment horizontal="center" vertical="top" wrapText="1"/>
    </xf>
    <xf numFmtId="2" fontId="5" fillId="0" borderId="15" xfId="1" applyNumberFormat="1" applyFont="1" applyBorder="1" applyAlignment="1">
      <alignment horizontal="center" vertical="center"/>
    </xf>
    <xf numFmtId="2" fontId="2" fillId="0" borderId="14" xfId="1" applyNumberFormat="1" applyFont="1" applyBorder="1" applyAlignment="1">
      <alignment horizontal="center" vertical="center" wrapText="1"/>
    </xf>
    <xf numFmtId="2" fontId="2" fillId="0" borderId="15" xfId="1" applyNumberFormat="1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8" fontId="15" fillId="0" borderId="0" xfId="0" applyNumberFormat="1" applyFont="1" applyAlignment="1">
      <alignment horizontal="center"/>
    </xf>
    <xf numFmtId="165" fontId="4" fillId="0" borderId="0" xfId="0" applyNumberFormat="1" applyFont="1"/>
    <xf numFmtId="165" fontId="20" fillId="0" borderId="0" xfId="0" applyNumberFormat="1" applyFont="1"/>
    <xf numFmtId="165" fontId="1" fillId="0" borderId="0" xfId="0" applyNumberFormat="1" applyFont="1"/>
    <xf numFmtId="0" fontId="14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0" fontId="2" fillId="0" borderId="0" xfId="0" applyNumberFormat="1" applyFont="1"/>
    <xf numFmtId="3" fontId="1" fillId="0" borderId="0" xfId="0" applyNumberFormat="1" applyFont="1"/>
    <xf numFmtId="49" fontId="1" fillId="0" borderId="0" xfId="0" applyNumberFormat="1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165" fontId="5" fillId="0" borderId="0" xfId="0" applyNumberFormat="1" applyFont="1"/>
    <xf numFmtId="0" fontId="13" fillId="0" borderId="0" xfId="0" applyFont="1"/>
    <xf numFmtId="165" fontId="12" fillId="0" borderId="0" xfId="0" applyNumberFormat="1" applyFont="1"/>
    <xf numFmtId="0" fontId="12" fillId="0" borderId="0" xfId="0" applyFont="1" applyAlignment="1">
      <alignment horizontal="left"/>
    </xf>
    <xf numFmtId="168" fontId="19" fillId="0" borderId="13" xfId="0" applyNumberFormat="1" applyFont="1" applyBorder="1" applyAlignment="1">
      <alignment horizontal="center" vertical="center"/>
    </xf>
    <xf numFmtId="8" fontId="19" fillId="0" borderId="13" xfId="0" applyNumberFormat="1" applyFont="1" applyBorder="1" applyAlignment="1">
      <alignment horizontal="center" vertical="center"/>
    </xf>
    <xf numFmtId="166" fontId="19" fillId="0" borderId="13" xfId="0" applyNumberFormat="1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8" fontId="18" fillId="0" borderId="0" xfId="0" applyNumberFormat="1" applyFont="1"/>
    <xf numFmtId="166" fontId="18" fillId="0" borderId="0" xfId="0" applyNumberFormat="1" applyFont="1" applyAlignment="1">
      <alignment horizontal="center" vertical="center"/>
    </xf>
    <xf numFmtId="0" fontId="19" fillId="0" borderId="0" xfId="0" applyFont="1"/>
    <xf numFmtId="165" fontId="4" fillId="0" borderId="13" xfId="1" applyNumberFormat="1" applyFont="1" applyBorder="1" applyAlignment="1">
      <alignment horizontal="right"/>
    </xf>
    <xf numFmtId="165" fontId="5" fillId="0" borderId="13" xfId="1" applyNumberFormat="1" applyFont="1" applyBorder="1" applyAlignment="1">
      <alignment horizontal="center"/>
    </xf>
    <xf numFmtId="0" fontId="18" fillId="0" borderId="0" xfId="0" applyFont="1"/>
    <xf numFmtId="0" fontId="22" fillId="0" borderId="0" xfId="0" applyFont="1"/>
    <xf numFmtId="165" fontId="23" fillId="0" borderId="0" xfId="0" applyNumberFormat="1" applyFont="1"/>
    <xf numFmtId="0" fontId="24" fillId="0" borderId="0" xfId="1" applyFont="1"/>
    <xf numFmtId="165" fontId="23" fillId="0" borderId="0" xfId="0" applyNumberFormat="1" applyFont="1" applyAlignment="1">
      <alignment horizontal="right" vertical="center"/>
    </xf>
    <xf numFmtId="3" fontId="25" fillId="0" borderId="0" xfId="1" applyNumberFormat="1" applyFont="1" applyAlignment="1">
      <alignment horizontal="center" vertical="top" wrapText="1"/>
    </xf>
    <xf numFmtId="0" fontId="27" fillId="0" borderId="0" xfId="0" applyFont="1" applyAlignment="1">
      <alignment horizontal="left" vertical="center"/>
    </xf>
    <xf numFmtId="8" fontId="24" fillId="0" borderId="0" xfId="1" applyNumberFormat="1" applyFont="1" applyAlignment="1">
      <alignment horizontal="right" vertical="center"/>
    </xf>
    <xf numFmtId="3" fontId="28" fillId="0" borderId="0" xfId="1" applyNumberFormat="1" applyFont="1" applyAlignment="1">
      <alignment horizontal="center" vertical="top" wrapText="1"/>
    </xf>
    <xf numFmtId="0" fontId="29" fillId="0" borderId="0" xfId="1" applyFont="1" applyAlignment="1">
      <alignment horizontal="left" vertical="center"/>
    </xf>
    <xf numFmtId="0" fontId="30" fillId="0" borderId="0" xfId="0" applyFont="1"/>
    <xf numFmtId="0" fontId="27" fillId="0" borderId="0" xfId="0" applyFont="1"/>
    <xf numFmtId="0" fontId="21" fillId="0" borderId="0" xfId="0" applyFont="1"/>
    <xf numFmtId="6" fontId="21" fillId="0" borderId="0" xfId="0" applyNumberFormat="1" applyFont="1"/>
    <xf numFmtId="2" fontId="2" fillId="0" borderId="15" xfId="1" applyNumberFormat="1" applyFont="1" applyBorder="1"/>
    <xf numFmtId="0" fontId="1" fillId="0" borderId="13" xfId="0" applyFont="1" applyBorder="1" applyAlignment="1">
      <alignment horizontal="center"/>
    </xf>
    <xf numFmtId="8" fontId="29" fillId="0" borderId="0" xfId="1" applyNumberFormat="1" applyFont="1" applyAlignment="1">
      <alignment horizontal="right" vertical="center"/>
    </xf>
    <xf numFmtId="165" fontId="21" fillId="0" borderId="0" xfId="0" applyNumberFormat="1" applyFont="1"/>
    <xf numFmtId="0" fontId="4" fillId="0" borderId="0" xfId="1" applyFont="1"/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9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2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8" fontId="5" fillId="0" borderId="0" xfId="0" applyNumberFormat="1" applyFont="1"/>
    <xf numFmtId="8" fontId="14" fillId="0" borderId="0" xfId="0" applyNumberFormat="1" applyFont="1" applyAlignment="1">
      <alignment horizontal="right" vertical="center"/>
    </xf>
    <xf numFmtId="40" fontId="14" fillId="0" borderId="0" xfId="0" applyNumberFormat="1" applyFont="1" applyAlignment="1">
      <alignment horizontal="right" vertical="center"/>
    </xf>
    <xf numFmtId="0" fontId="0" fillId="2" borderId="0" xfId="0" applyFill="1"/>
    <xf numFmtId="0" fontId="0" fillId="0" borderId="0" xfId="0" applyAlignment="1">
      <alignment horizontal="left" vertical="center"/>
    </xf>
    <xf numFmtId="3" fontId="0" fillId="0" borderId="0" xfId="0" applyNumberFormat="1"/>
    <xf numFmtId="0" fontId="13" fillId="2" borderId="0" xfId="0" applyFont="1" applyFill="1"/>
    <xf numFmtId="0" fontId="28" fillId="0" borderId="13" xfId="0" applyFont="1" applyBorder="1"/>
    <xf numFmtId="0" fontId="4" fillId="0" borderId="0" xfId="0" applyFont="1" applyAlignment="1">
      <alignment horizontal="center"/>
    </xf>
    <xf numFmtId="0" fontId="31" fillId="0" borderId="0" xfId="0" applyFont="1"/>
    <xf numFmtId="165" fontId="31" fillId="0" borderId="0" xfId="0" applyNumberFormat="1" applyFont="1"/>
    <xf numFmtId="165" fontId="15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2" fillId="0" borderId="0" xfId="0" applyFont="1"/>
    <xf numFmtId="0" fontId="33" fillId="0" borderId="0" xfId="0" applyFont="1"/>
    <xf numFmtId="0" fontId="4" fillId="0" borderId="0" xfId="0" applyFont="1" applyAlignment="1">
      <alignment horizontal="left"/>
    </xf>
    <xf numFmtId="6" fontId="5" fillId="0" borderId="0" xfId="0" applyNumberFormat="1" applyFont="1"/>
    <xf numFmtId="8" fontId="4" fillId="0" borderId="0" xfId="0" applyNumberFormat="1" applyFont="1"/>
    <xf numFmtId="165" fontId="4" fillId="4" borderId="0" xfId="0" applyNumberFormat="1" applyFont="1" applyFill="1"/>
    <xf numFmtId="6" fontId="15" fillId="4" borderId="0" xfId="0" applyNumberFormat="1" applyFont="1" applyFill="1"/>
    <xf numFmtId="8" fontId="4" fillId="4" borderId="0" xfId="0" applyNumberFormat="1" applyFont="1" applyFill="1"/>
    <xf numFmtId="165" fontId="15" fillId="4" borderId="0" xfId="0" applyNumberFormat="1" applyFont="1" applyFill="1" applyAlignment="1">
      <alignment horizontal="right"/>
    </xf>
    <xf numFmtId="6" fontId="4" fillId="4" borderId="0" xfId="0" applyNumberFormat="1" applyFont="1" applyFill="1"/>
    <xf numFmtId="6" fontId="12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164" fontId="12" fillId="0" borderId="0" xfId="0" applyNumberFormat="1" applyFont="1"/>
    <xf numFmtId="0" fontId="12" fillId="2" borderId="0" xfId="0" applyFont="1" applyFill="1"/>
    <xf numFmtId="0" fontId="12" fillId="0" borderId="0" xfId="0" applyFont="1" applyAlignment="1">
      <alignment horizontal="right"/>
    </xf>
    <xf numFmtId="165" fontId="13" fillId="0" borderId="0" xfId="0" applyNumberFormat="1" applyFont="1"/>
    <xf numFmtId="15" fontId="14" fillId="0" borderId="0" xfId="0" applyNumberFormat="1" applyFont="1"/>
    <xf numFmtId="3" fontId="23" fillId="0" borderId="0" xfId="0" applyNumberFormat="1" applyFont="1"/>
    <xf numFmtId="3" fontId="23" fillId="0" borderId="0" xfId="0" applyNumberFormat="1" applyFont="1" applyAlignment="1">
      <alignment horizontal="right" vertical="center"/>
    </xf>
    <xf numFmtId="3" fontId="24" fillId="0" borderId="0" xfId="1" applyNumberFormat="1" applyFont="1" applyAlignment="1">
      <alignment horizontal="right" vertical="center"/>
    </xf>
    <xf numFmtId="0" fontId="34" fillId="0" borderId="13" xfId="0" applyFont="1" applyBorder="1" applyAlignment="1">
      <alignment horizontal="center"/>
    </xf>
    <xf numFmtId="8" fontId="0" fillId="0" borderId="0" xfId="0" applyNumberFormat="1"/>
    <xf numFmtId="164" fontId="2" fillId="0" borderId="0" xfId="0" applyNumberFormat="1" applyFont="1" applyAlignment="1">
      <alignment horizontal="right"/>
    </xf>
    <xf numFmtId="167" fontId="19" fillId="0" borderId="1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5" fontId="31" fillId="4" borderId="0" xfId="0" applyNumberFormat="1" applyFont="1" applyFill="1"/>
    <xf numFmtId="8" fontId="12" fillId="0" borderId="0" xfId="0" applyNumberFormat="1" applyFont="1"/>
    <xf numFmtId="6" fontId="0" fillId="0" borderId="0" xfId="0" applyNumberFormat="1"/>
    <xf numFmtId="0" fontId="0" fillId="5" borderId="0" xfId="0" applyFill="1"/>
    <xf numFmtId="6" fontId="13" fillId="0" borderId="0" xfId="0" applyNumberFormat="1" applyFont="1"/>
    <xf numFmtId="0" fontId="35" fillId="0" borderId="0" xfId="0" applyFont="1"/>
    <xf numFmtId="6" fontId="35" fillId="0" borderId="0" xfId="0" applyNumberFormat="1" applyFont="1"/>
    <xf numFmtId="164" fontId="2" fillId="0" borderId="13" xfId="1" applyNumberFormat="1" applyFont="1" applyBorder="1" applyAlignment="1">
      <alignment horizontal="right" wrapText="1"/>
    </xf>
    <xf numFmtId="164" fontId="5" fillId="0" borderId="19" xfId="1" applyNumberFormat="1" applyFont="1" applyBorder="1" applyAlignment="1">
      <alignment horizontal="right" wrapText="1"/>
    </xf>
    <xf numFmtId="165" fontId="16" fillId="0" borderId="0" xfId="0" applyNumberFormat="1" applyFont="1"/>
    <xf numFmtId="0" fontId="36" fillId="0" borderId="0" xfId="0" applyFont="1"/>
    <xf numFmtId="0" fontId="31" fillId="0" borderId="0" xfId="1" applyFont="1"/>
    <xf numFmtId="0" fontId="31" fillId="0" borderId="0" xfId="1" applyFont="1" applyAlignment="1">
      <alignment horizontal="left"/>
    </xf>
    <xf numFmtId="0" fontId="4" fillId="0" borderId="25" xfId="1" applyFont="1" applyBorder="1"/>
    <xf numFmtId="164" fontId="4" fillId="0" borderId="26" xfId="1" applyNumberFormat="1" applyFont="1" applyBorder="1"/>
    <xf numFmtId="164" fontId="4" fillId="0" borderId="27" xfId="1" applyNumberFormat="1" applyFont="1" applyBorder="1"/>
    <xf numFmtId="3" fontId="2" fillId="0" borderId="28" xfId="1" applyNumberFormat="1" applyFont="1" applyBorder="1" applyAlignment="1">
      <alignment horizontal="center" vertical="top" wrapText="1"/>
    </xf>
    <xf numFmtId="165" fontId="1" fillId="0" borderId="29" xfId="1" applyNumberFormat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65" fontId="5" fillId="0" borderId="15" xfId="1" applyNumberFormat="1" applyFont="1" applyBorder="1" applyAlignment="1">
      <alignment horizontal="center"/>
    </xf>
    <xf numFmtId="8" fontId="1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1" applyFont="1" applyAlignment="1">
      <alignment horizontal="left"/>
    </xf>
    <xf numFmtId="0" fontId="37" fillId="0" borderId="0" xfId="0" applyFont="1"/>
    <xf numFmtId="0" fontId="38" fillId="0" borderId="0" xfId="0" applyFont="1"/>
    <xf numFmtId="164" fontId="4" fillId="0" borderId="0" xfId="1" applyNumberFormat="1" applyFont="1"/>
    <xf numFmtId="165" fontId="5" fillId="0" borderId="0" xfId="0" applyNumberFormat="1" applyFont="1" applyAlignment="1">
      <alignment horizontal="right" vertical="center"/>
    </xf>
    <xf numFmtId="0" fontId="2" fillId="0" borderId="7" xfId="0" applyFont="1" applyBorder="1"/>
    <xf numFmtId="164" fontId="2" fillId="0" borderId="8" xfId="0" applyNumberFormat="1" applyFont="1" applyBorder="1"/>
    <xf numFmtId="3" fontId="2" fillId="0" borderId="8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0" fontId="2" fillId="0" borderId="0" xfId="0" applyFont="1" applyAlignment="1">
      <alignment horizontal="right"/>
    </xf>
    <xf numFmtId="6" fontId="2" fillId="0" borderId="0" xfId="0" applyNumberFormat="1" applyFont="1"/>
    <xf numFmtId="6" fontId="15" fillId="0" borderId="0" xfId="0" applyNumberFormat="1" applyFont="1"/>
    <xf numFmtId="0" fontId="40" fillId="0" borderId="0" xfId="0" applyFont="1" applyAlignment="1">
      <alignment horizontal="right"/>
    </xf>
    <xf numFmtId="165" fontId="40" fillId="0" borderId="0" xfId="0" applyNumberFormat="1" applyFont="1"/>
    <xf numFmtId="6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6" fontId="0" fillId="2" borderId="0" xfId="0" applyNumberFormat="1" applyFill="1"/>
    <xf numFmtId="164" fontId="13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 applyAlignment="1">
      <alignment horizontal="center" vertical="top" wrapText="1"/>
    </xf>
    <xf numFmtId="165" fontId="5" fillId="0" borderId="0" xfId="1" applyNumberFormat="1" applyFont="1"/>
    <xf numFmtId="165" fontId="26" fillId="0" borderId="13" xfId="1" applyNumberFormat="1" applyFont="1" applyBorder="1" applyAlignment="1">
      <alignment horizontal="right"/>
    </xf>
    <xf numFmtId="8" fontId="1" fillId="0" borderId="0" xfId="1" applyNumberFormat="1" applyFont="1" applyAlignment="1">
      <alignment horizontal="right"/>
    </xf>
    <xf numFmtId="0" fontId="2" fillId="0" borderId="0" xfId="1" applyFont="1" applyAlignment="1">
      <alignment vertical="top" wrapText="1"/>
    </xf>
    <xf numFmtId="165" fontId="1" fillId="0" borderId="0" xfId="1" applyNumberFormat="1" applyFont="1"/>
    <xf numFmtId="0" fontId="2" fillId="0" borderId="0" xfId="1" applyFont="1" applyAlignment="1">
      <alignment horizontal="center" vertical="top" wrapText="1"/>
    </xf>
    <xf numFmtId="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0" fillId="0" borderId="0" xfId="0" applyNumberFormat="1"/>
    <xf numFmtId="0" fontId="12" fillId="2" borderId="0" xfId="0" applyFont="1" applyFill="1" applyAlignment="1">
      <alignment horizontal="center"/>
    </xf>
    <xf numFmtId="165" fontId="17" fillId="2" borderId="0" xfId="0" applyNumberFormat="1" applyFont="1" applyFill="1"/>
    <xf numFmtId="165" fontId="12" fillId="2" borderId="0" xfId="0" applyNumberFormat="1" applyFont="1" applyFill="1"/>
    <xf numFmtId="164" fontId="12" fillId="2" borderId="0" xfId="0" applyNumberFormat="1" applyFont="1" applyFill="1"/>
    <xf numFmtId="0" fontId="13" fillId="5" borderId="0" xfId="0" applyFont="1" applyFill="1" applyAlignment="1">
      <alignment horizontal="center"/>
    </xf>
    <xf numFmtId="0" fontId="12" fillId="5" borderId="0" xfId="0" applyFont="1" applyFill="1"/>
    <xf numFmtId="164" fontId="12" fillId="5" borderId="0" xfId="0" applyNumberFormat="1" applyFont="1" applyFill="1"/>
    <xf numFmtId="0" fontId="12" fillId="5" borderId="0" xfId="0" applyFont="1" applyFill="1" applyAlignment="1">
      <alignment horizontal="center"/>
    </xf>
    <xf numFmtId="164" fontId="17" fillId="5" borderId="0" xfId="0" applyNumberFormat="1" applyFont="1" applyFill="1"/>
    <xf numFmtId="165" fontId="12" fillId="5" borderId="0" xfId="0" applyNumberFormat="1" applyFont="1" applyFill="1"/>
    <xf numFmtId="165" fontId="17" fillId="5" borderId="0" xfId="0" applyNumberFormat="1" applyFont="1" applyFill="1"/>
    <xf numFmtId="0" fontId="12" fillId="5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164" fontId="12" fillId="3" borderId="0" xfId="0" applyNumberFormat="1" applyFont="1" applyFill="1"/>
    <xf numFmtId="6" fontId="12" fillId="2" borderId="0" xfId="0" applyNumberFormat="1" applyFont="1" applyFill="1"/>
    <xf numFmtId="0" fontId="14" fillId="0" borderId="0" xfId="0" applyFont="1" applyAlignment="1">
      <alignment horizontal="center" vertical="center"/>
    </xf>
    <xf numFmtId="8" fontId="19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/>
    </xf>
    <xf numFmtId="8" fontId="18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8" fontId="19" fillId="2" borderId="1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8" fillId="2" borderId="0" xfId="0" applyFont="1" applyFill="1" applyAlignment="1">
      <alignment horizontal="left" vertical="center"/>
    </xf>
    <xf numFmtId="8" fontId="18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0" fontId="0" fillId="2" borderId="0" xfId="0" applyNumberForma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64" fontId="12" fillId="7" borderId="0" xfId="0" applyNumberFormat="1" applyFont="1" applyFill="1"/>
    <xf numFmtId="8" fontId="19" fillId="2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13" fillId="7" borderId="0" xfId="0" applyFont="1" applyFill="1"/>
    <xf numFmtId="40" fontId="14" fillId="2" borderId="0" xfId="0" applyNumberFormat="1" applyFont="1" applyFill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5" fillId="0" borderId="0" xfId="1" applyFont="1" applyAlignment="1">
      <alignment horizontal="center"/>
    </xf>
    <xf numFmtId="0" fontId="26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0" fillId="0" borderId="0" xfId="0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0" borderId="0" xfId="1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21" xfId="0" applyFont="1" applyBorder="1"/>
    <xf numFmtId="0" fontId="27" fillId="0" borderId="21" xfId="0" applyFont="1" applyBorder="1"/>
    <xf numFmtId="0" fontId="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/>
    <xf numFmtId="0" fontId="1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9" fillId="0" borderId="1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0" fontId="14" fillId="0" borderId="0" xfId="0" applyNumberFormat="1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14" fillId="0" borderId="0" xfId="0" applyNumberFormat="1" applyFon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center"/>
    </xf>
    <xf numFmtId="0" fontId="14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6" fontId="14" fillId="2" borderId="0" xfId="0" applyNumberFormat="1" applyFont="1" applyFill="1"/>
    <xf numFmtId="0" fontId="14" fillId="2" borderId="0" xfId="0" applyFont="1" applyFill="1"/>
    <xf numFmtId="0" fontId="19" fillId="0" borderId="0" xfId="0" applyFont="1" applyAlignment="1">
      <alignment horizontal="left" vertical="center"/>
    </xf>
    <xf numFmtId="165" fontId="14" fillId="6" borderId="0" xfId="0" applyNumberFormat="1" applyFont="1" applyFill="1"/>
    <xf numFmtId="165" fontId="0" fillId="6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view="pageLayout" zoomScaleNormal="100" workbookViewId="0">
      <selection activeCell="I16" sqref="I16"/>
    </sheetView>
  </sheetViews>
  <sheetFormatPr defaultColWidth="9.140625" defaultRowHeight="18" x14ac:dyDescent="0.25"/>
  <cols>
    <col min="1" max="1" width="26.28515625" style="21" customWidth="1"/>
    <col min="2" max="2" width="12.42578125" style="21" customWidth="1"/>
    <col min="3" max="3" width="13.140625" style="20" customWidth="1"/>
    <col min="4" max="4" width="10.5703125" style="20" customWidth="1"/>
    <col min="5" max="5" width="12.7109375" style="20" customWidth="1"/>
    <col min="6" max="6" width="13.85546875" style="20" customWidth="1"/>
    <col min="7" max="7" width="18.5703125" style="20" customWidth="1"/>
    <col min="8" max="8" width="16.28515625" style="20" customWidth="1"/>
    <col min="9" max="9" width="15" style="20" customWidth="1"/>
    <col min="10" max="10" width="12.5703125" style="20" customWidth="1"/>
    <col min="11" max="16384" width="9.140625" style="20"/>
  </cols>
  <sheetData>
    <row r="1" spans="1:10" s="27" customFormat="1" ht="35.25" customHeight="1" thickTop="1" x14ac:dyDescent="0.25">
      <c r="A1" s="34" t="s">
        <v>0</v>
      </c>
      <c r="B1" s="72" t="s">
        <v>230</v>
      </c>
      <c r="C1" s="77" t="s">
        <v>231</v>
      </c>
      <c r="D1" s="72" t="s">
        <v>143</v>
      </c>
      <c r="E1" s="72" t="s">
        <v>232</v>
      </c>
      <c r="F1" s="72" t="s">
        <v>122</v>
      </c>
      <c r="G1" s="78" t="s">
        <v>233</v>
      </c>
      <c r="H1" s="62" t="s">
        <v>125</v>
      </c>
      <c r="I1" s="79" t="s">
        <v>119</v>
      </c>
      <c r="J1" s="62"/>
    </row>
    <row r="2" spans="1:10" s="27" customFormat="1" ht="35.25" customHeight="1" x14ac:dyDescent="0.25">
      <c r="A2" s="25" t="s">
        <v>228</v>
      </c>
      <c r="B2" s="75">
        <v>19.260000000000002</v>
      </c>
      <c r="C2" s="35">
        <f>(B2)*2080</f>
        <v>40060.800000000003</v>
      </c>
      <c r="D2" s="138">
        <v>1.05</v>
      </c>
      <c r="E2" s="75">
        <f t="shared" ref="E2:E8" si="0">B2*D2</f>
        <v>20.223000000000003</v>
      </c>
      <c r="F2" s="73">
        <v>2080</v>
      </c>
      <c r="G2" s="61">
        <f t="shared" ref="G2:G8" si="1">E2*F2</f>
        <v>42063.840000000004</v>
      </c>
      <c r="H2" s="198">
        <v>800</v>
      </c>
      <c r="I2" s="199">
        <v>0</v>
      </c>
      <c r="J2" s="62"/>
    </row>
    <row r="3" spans="1:10" s="26" customFormat="1" x14ac:dyDescent="0.25">
      <c r="A3" s="25" t="s">
        <v>8</v>
      </c>
      <c r="B3" s="75">
        <v>35.49</v>
      </c>
      <c r="C3" s="35">
        <f t="shared" ref="C3:C8" si="2">(B3)*2080</f>
        <v>73819.199999999997</v>
      </c>
      <c r="D3" s="138">
        <v>1.05</v>
      </c>
      <c r="E3" s="75">
        <f t="shared" si="0"/>
        <v>37.264500000000005</v>
      </c>
      <c r="F3" s="73">
        <v>2080</v>
      </c>
      <c r="G3" s="61">
        <f t="shared" si="1"/>
        <v>77510.160000000018</v>
      </c>
      <c r="H3" s="63">
        <v>3000</v>
      </c>
      <c r="I3" s="80">
        <v>1500</v>
      </c>
      <c r="J3" s="122"/>
    </row>
    <row r="4" spans="1:10" s="26" customFormat="1" x14ac:dyDescent="0.25">
      <c r="A4" s="25" t="s">
        <v>297</v>
      </c>
      <c r="B4" s="75">
        <v>27.48</v>
      </c>
      <c r="C4" s="35">
        <f t="shared" si="2"/>
        <v>57158.400000000001</v>
      </c>
      <c r="D4" s="138">
        <v>1.1000000000000001</v>
      </c>
      <c r="E4" s="75">
        <f t="shared" si="0"/>
        <v>30.228000000000002</v>
      </c>
      <c r="F4" s="73">
        <v>2080</v>
      </c>
      <c r="G4" s="61">
        <f t="shared" si="1"/>
        <v>62874.240000000005</v>
      </c>
      <c r="H4" s="63">
        <v>1500</v>
      </c>
      <c r="I4" s="80">
        <v>1000</v>
      </c>
      <c r="J4" s="236" t="s">
        <v>295</v>
      </c>
    </row>
    <row r="5" spans="1:10" s="26" customFormat="1" x14ac:dyDescent="0.25">
      <c r="A5" s="25" t="s">
        <v>10</v>
      </c>
      <c r="B5" s="75">
        <v>22.9</v>
      </c>
      <c r="C5" s="35">
        <f t="shared" si="2"/>
        <v>47632</v>
      </c>
      <c r="D5" s="138">
        <v>1.03</v>
      </c>
      <c r="E5" s="75">
        <f t="shared" si="0"/>
        <v>23.587</v>
      </c>
      <c r="F5" s="73">
        <v>2080</v>
      </c>
      <c r="G5" s="61">
        <f t="shared" si="1"/>
        <v>49060.959999999999</v>
      </c>
      <c r="H5" s="63">
        <v>1000</v>
      </c>
      <c r="I5" s="80">
        <v>0</v>
      </c>
      <c r="J5" s="122"/>
    </row>
    <row r="6" spans="1:10" x14ac:dyDescent="0.25">
      <c r="A6" s="25" t="s">
        <v>11</v>
      </c>
      <c r="B6" s="75">
        <v>21.19</v>
      </c>
      <c r="C6" s="35">
        <f t="shared" si="2"/>
        <v>44075.200000000004</v>
      </c>
      <c r="D6" s="138">
        <v>1.05</v>
      </c>
      <c r="E6" s="75">
        <f t="shared" si="0"/>
        <v>22.249500000000001</v>
      </c>
      <c r="F6" s="73">
        <v>2080</v>
      </c>
      <c r="G6" s="61">
        <f t="shared" si="1"/>
        <v>46278.96</v>
      </c>
      <c r="H6" s="63">
        <v>1000</v>
      </c>
      <c r="I6" s="80">
        <v>0</v>
      </c>
      <c r="J6" s="122"/>
    </row>
    <row r="7" spans="1:10" x14ac:dyDescent="0.25">
      <c r="A7" s="25" t="s">
        <v>12</v>
      </c>
      <c r="B7" s="75">
        <v>24.04</v>
      </c>
      <c r="C7" s="35">
        <f>(B7)*1593</f>
        <v>38295.72</v>
      </c>
      <c r="D7" s="138">
        <v>1.05</v>
      </c>
      <c r="E7" s="75">
        <f t="shared" si="0"/>
        <v>25.242000000000001</v>
      </c>
      <c r="F7" s="73">
        <v>1593</v>
      </c>
      <c r="G7" s="61">
        <f t="shared" si="1"/>
        <v>40210.506000000001</v>
      </c>
      <c r="H7" s="63">
        <v>1000</v>
      </c>
      <c r="I7" s="80">
        <v>0</v>
      </c>
      <c r="J7" s="122"/>
    </row>
    <row r="8" spans="1:10" x14ac:dyDescent="0.25">
      <c r="A8" s="25" t="s">
        <v>13</v>
      </c>
      <c r="B8" s="76">
        <v>77.06</v>
      </c>
      <c r="C8" s="35">
        <f t="shared" si="2"/>
        <v>160284.80000000002</v>
      </c>
      <c r="D8" s="138">
        <v>1.05</v>
      </c>
      <c r="E8" s="75">
        <f t="shared" si="0"/>
        <v>80.913000000000011</v>
      </c>
      <c r="F8" s="74">
        <v>2080</v>
      </c>
      <c r="G8" s="61">
        <f t="shared" si="1"/>
        <v>168299.04000000004</v>
      </c>
      <c r="H8" s="64">
        <v>5000</v>
      </c>
      <c r="I8" s="80">
        <v>0</v>
      </c>
      <c r="J8" s="122"/>
    </row>
    <row r="9" spans="1:10" ht="18.75" thickBot="1" x14ac:dyDescent="0.3">
      <c r="A9" s="42"/>
      <c r="B9" s="66"/>
      <c r="C9" s="68"/>
      <c r="D9" s="66"/>
      <c r="E9" s="75"/>
      <c r="F9" s="66"/>
      <c r="G9" s="66"/>
      <c r="H9" s="67"/>
      <c r="I9" s="81"/>
      <c r="J9" s="83"/>
    </row>
    <row r="10" spans="1:10" ht="18.75" thickBot="1" x14ac:dyDescent="0.3">
      <c r="A10" s="70" t="s">
        <v>4</v>
      </c>
      <c r="B10" s="71"/>
      <c r="C10" s="71"/>
      <c r="D10" s="71"/>
      <c r="E10" s="71"/>
      <c r="F10" s="71"/>
      <c r="G10" s="71">
        <f>SUM(G2:G8)</f>
        <v>486297.70600000006</v>
      </c>
      <c r="H10" s="69">
        <f>SUM(H2:H8)</f>
        <v>13300</v>
      </c>
      <c r="I10" s="82">
        <f>SUM(I2:I8)</f>
        <v>2500</v>
      </c>
      <c r="J10" s="84"/>
    </row>
    <row r="11" spans="1:10" x14ac:dyDescent="0.25">
      <c r="A11" s="142"/>
      <c r="B11" s="233"/>
      <c r="C11" s="233"/>
      <c r="D11" s="233"/>
      <c r="E11" s="233"/>
      <c r="F11" s="233"/>
      <c r="G11" s="233"/>
      <c r="H11" s="234"/>
      <c r="I11" s="234"/>
      <c r="J11" s="235"/>
    </row>
    <row r="12" spans="1:10" x14ac:dyDescent="0.25">
      <c r="A12" s="20" t="s">
        <v>296</v>
      </c>
      <c r="B12" s="233"/>
      <c r="C12" s="233"/>
      <c r="D12" s="233"/>
      <c r="E12" s="233"/>
      <c r="F12" s="233"/>
      <c r="G12" s="233"/>
      <c r="H12" s="234"/>
      <c r="I12" s="234"/>
      <c r="J12" s="235"/>
    </row>
    <row r="13" spans="1:10" x14ac:dyDescent="0.25">
      <c r="A13" s="43"/>
      <c r="C13" s="282"/>
      <c r="D13" s="282"/>
      <c r="E13" s="282"/>
      <c r="F13" s="282"/>
      <c r="G13" s="282"/>
      <c r="H13" s="282"/>
      <c r="I13" s="23"/>
    </row>
    <row r="14" spans="1:10" x14ac:dyDescent="0.25">
      <c r="A14" s="280" t="s">
        <v>120</v>
      </c>
      <c r="B14" s="280"/>
      <c r="C14" s="281"/>
      <c r="D14" s="125"/>
      <c r="E14" s="125"/>
      <c r="F14" s="125"/>
      <c r="G14" s="183">
        <f>G10+H10+I10</f>
        <v>502097.70600000006</v>
      </c>
      <c r="H14" s="125"/>
      <c r="I14" s="127"/>
      <c r="J14" s="127"/>
    </row>
    <row r="15" spans="1:10" x14ac:dyDescent="0.25">
      <c r="A15" s="280" t="s">
        <v>155</v>
      </c>
      <c r="B15" s="280"/>
      <c r="C15" s="281"/>
      <c r="D15" s="281"/>
      <c r="E15" s="281"/>
      <c r="F15" s="281"/>
      <c r="G15" s="184">
        <f>(E2+E3+E4+E5+E6)*1.5*64</f>
        <v>12820.992000000002</v>
      </c>
      <c r="H15" s="125"/>
      <c r="I15" s="129"/>
      <c r="J15" s="127"/>
    </row>
    <row r="16" spans="1:10" x14ac:dyDescent="0.25">
      <c r="A16" s="283" t="s">
        <v>141</v>
      </c>
      <c r="B16" s="283"/>
      <c r="C16" s="284"/>
      <c r="D16" s="130"/>
      <c r="E16" s="130"/>
      <c r="F16" s="130"/>
      <c r="G16" s="185">
        <f>(G14+G15)*0.02</f>
        <v>10298.373960000003</v>
      </c>
      <c r="H16" s="125"/>
      <c r="I16" s="132"/>
      <c r="J16" s="127"/>
    </row>
    <row r="17" spans="1:10" x14ac:dyDescent="0.25">
      <c r="A17" s="133"/>
      <c r="B17" s="133"/>
      <c r="C17" s="130"/>
      <c r="D17" s="130"/>
      <c r="E17" s="130"/>
      <c r="F17" s="130"/>
      <c r="G17" s="140"/>
      <c r="H17" s="134"/>
      <c r="I17" s="132"/>
      <c r="J17" s="127"/>
    </row>
    <row r="18" spans="1:10" x14ac:dyDescent="0.25">
      <c r="A18" s="135"/>
      <c r="B18" s="135"/>
      <c r="C18" s="136" t="s">
        <v>150</v>
      </c>
      <c r="D18" s="125"/>
      <c r="E18" s="125"/>
      <c r="F18" s="125"/>
      <c r="G18" s="137">
        <f>G14+G15+G16</f>
        <v>525217.07196000009</v>
      </c>
      <c r="H18" s="125"/>
      <c r="I18" s="127"/>
      <c r="J18" s="127"/>
    </row>
    <row r="19" spans="1:10" x14ac:dyDescent="0.25">
      <c r="A19" s="125"/>
      <c r="B19" s="125"/>
      <c r="C19" s="136"/>
      <c r="D19" s="136"/>
      <c r="E19" s="136"/>
      <c r="F19" s="136"/>
      <c r="G19" s="141"/>
      <c r="H19" s="125"/>
      <c r="I19" s="127"/>
      <c r="J19" s="127"/>
    </row>
    <row r="20" spans="1:10" x14ac:dyDescent="0.25">
      <c r="C20" s="142" t="s">
        <v>235</v>
      </c>
      <c r="G20" s="217">
        <v>525300</v>
      </c>
      <c r="H20" s="202"/>
    </row>
    <row r="23" spans="1:10" x14ac:dyDescent="0.25">
      <c r="A23" s="203"/>
    </row>
    <row r="24" spans="1:10" x14ac:dyDescent="0.25">
      <c r="B24" s="203"/>
    </row>
  </sheetData>
  <mergeCells count="4">
    <mergeCell ref="A14:C14"/>
    <mergeCell ref="C13:H13"/>
    <mergeCell ref="A16:C16"/>
    <mergeCell ref="A15:F15"/>
  </mergeCells>
  <printOptions horizontalCentered="1"/>
  <pageMargins left="0.92" right="0.92" top="1.6354166666666667" bottom="1" header="0.86" footer="0.5"/>
  <pageSetup paperSize="5" orientation="landscape" r:id="rId1"/>
  <headerFooter alignWithMargins="0">
    <oddHeader xml:space="preserve">&amp;C&amp;"Tahoma,Bold"&amp;16FY2025 Employee Payroll Expenses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C586-F3E0-4D8C-A0A4-1CBB9AAE34F8}">
  <dimension ref="A1:I25"/>
  <sheetViews>
    <sheetView view="pageLayout" zoomScaleNormal="100" workbookViewId="0">
      <selection activeCell="B14" sqref="B14"/>
    </sheetView>
  </sheetViews>
  <sheetFormatPr defaultColWidth="9.140625" defaultRowHeight="18" x14ac:dyDescent="0.25"/>
  <cols>
    <col min="1" max="1" width="26.85546875" style="13" customWidth="1"/>
    <col min="2" max="2" width="23.28515625" style="13" bestFit="1" customWidth="1"/>
    <col min="3" max="3" width="34.7109375" style="14" customWidth="1"/>
    <col min="4" max="4" width="12.28515625" style="13" customWidth="1"/>
    <col min="5" max="5" width="20" style="13" bestFit="1" customWidth="1"/>
    <col min="6" max="6" width="14.28515625" style="13" bestFit="1" customWidth="1"/>
    <col min="7" max="7" width="17.42578125" style="13" customWidth="1"/>
    <col min="8" max="8" width="18.7109375" style="13" customWidth="1"/>
    <col min="9" max="16384" width="9.140625" style="13"/>
  </cols>
  <sheetData>
    <row r="1" spans="1:9" s="2" customFormat="1" x14ac:dyDescent="0.25">
      <c r="A1" s="1"/>
      <c r="B1" s="104"/>
      <c r="C1" s="104"/>
      <c r="D1" s="1"/>
      <c r="E1" s="1"/>
      <c r="F1" s="1"/>
    </row>
    <row r="2" spans="1:9" s="2" customFormat="1" x14ac:dyDescent="0.25">
      <c r="B2" s="8"/>
      <c r="C2" s="105"/>
      <c r="D2" s="106"/>
      <c r="E2" s="8"/>
      <c r="F2" s="3"/>
      <c r="G2" s="4"/>
      <c r="H2" s="4"/>
    </row>
    <row r="3" spans="1:9" s="2" customFormat="1" x14ac:dyDescent="0.25">
      <c r="B3" s="8"/>
      <c r="C3" s="105"/>
      <c r="D3" s="106"/>
      <c r="E3" s="8"/>
      <c r="F3" s="3"/>
      <c r="G3" s="8"/>
      <c r="H3" s="8"/>
    </row>
    <row r="4" spans="1:9" s="2" customFormat="1" x14ac:dyDescent="0.25">
      <c r="A4" s="2" t="s">
        <v>227</v>
      </c>
      <c r="B4" s="188">
        <v>8379</v>
      </c>
      <c r="C4" s="105"/>
      <c r="D4" s="106"/>
      <c r="E4" s="8"/>
      <c r="F4" s="3"/>
      <c r="G4" s="8"/>
      <c r="H4" s="8"/>
    </row>
    <row r="5" spans="1:9" s="2" customFormat="1" x14ac:dyDescent="0.25">
      <c r="A5" s="2" t="s">
        <v>405</v>
      </c>
      <c r="B5" s="188">
        <v>8050</v>
      </c>
      <c r="C5" s="105"/>
      <c r="D5" s="106"/>
      <c r="E5" s="8"/>
      <c r="F5" s="3"/>
      <c r="G5" s="8"/>
      <c r="H5" s="8"/>
    </row>
    <row r="6" spans="1:9" s="2" customFormat="1" x14ac:dyDescent="0.25">
      <c r="B6" s="8"/>
      <c r="C6" s="105"/>
      <c r="D6" s="106"/>
      <c r="E6" s="8"/>
      <c r="F6" s="3"/>
      <c r="G6" s="8"/>
      <c r="H6" s="8"/>
    </row>
    <row r="7" spans="1:9" s="2" customFormat="1" x14ac:dyDescent="0.25">
      <c r="A7" s="44" t="s">
        <v>267</v>
      </c>
      <c r="B7" s="9">
        <v>8100</v>
      </c>
      <c r="C7" s="108"/>
      <c r="D7" s="106"/>
      <c r="E7" s="8"/>
      <c r="F7" s="3"/>
      <c r="G7" s="8"/>
      <c r="H7" s="8"/>
    </row>
    <row r="8" spans="1:9" s="2" customFormat="1" x14ac:dyDescent="0.25">
      <c r="B8" s="8"/>
      <c r="C8" s="105"/>
      <c r="D8" s="106"/>
      <c r="E8" s="8"/>
      <c r="F8" s="3"/>
      <c r="G8" s="8"/>
      <c r="H8" s="8"/>
    </row>
    <row r="9" spans="1:9" s="2" customFormat="1" x14ac:dyDescent="0.25">
      <c r="B9" s="8"/>
      <c r="C9" s="105"/>
      <c r="D9" s="106"/>
      <c r="E9" s="8"/>
      <c r="F9" s="3"/>
      <c r="G9" s="8"/>
      <c r="H9" s="8"/>
    </row>
    <row r="10" spans="1:9" s="2" customFormat="1" x14ac:dyDescent="0.25">
      <c r="B10" s="8"/>
      <c r="C10" s="105"/>
      <c r="D10" s="106"/>
      <c r="E10" s="8"/>
      <c r="F10" s="9"/>
      <c r="G10" s="8"/>
      <c r="H10" s="8"/>
    </row>
    <row r="11" spans="1:9" s="2" customFormat="1" x14ac:dyDescent="0.25">
      <c r="A11" s="44"/>
      <c r="B11" s="9"/>
      <c r="C11" s="107"/>
      <c r="D11" s="44"/>
      <c r="E11" s="9"/>
      <c r="F11" s="8"/>
      <c r="G11" s="9"/>
      <c r="H11" s="9"/>
      <c r="I11" s="8"/>
    </row>
    <row r="12" spans="1:9" s="2" customFormat="1" x14ac:dyDescent="0.25">
      <c r="B12" s="8"/>
      <c r="C12" s="10"/>
      <c r="D12" s="8"/>
      <c r="E12" s="8"/>
    </row>
    <row r="13" spans="1:9" s="2" customFormat="1" x14ac:dyDescent="0.25">
      <c r="B13" s="11"/>
    </row>
    <row r="14" spans="1:9" s="2" customFormat="1" x14ac:dyDescent="0.25">
      <c r="B14" s="11"/>
    </row>
    <row r="15" spans="1:9" s="2" customFormat="1" x14ac:dyDescent="0.25">
      <c r="A15" s="44"/>
      <c r="B15" s="11"/>
    </row>
    <row r="16" spans="1:9" s="2" customFormat="1" x14ac:dyDescent="0.25">
      <c r="B16" s="11"/>
    </row>
    <row r="17" spans="1:6" x14ac:dyDescent="0.25">
      <c r="A17" s="2"/>
      <c r="B17" s="12"/>
      <c r="C17" s="13"/>
    </row>
    <row r="18" spans="1:6" x14ac:dyDescent="0.25">
      <c r="B18" s="15"/>
      <c r="C18" s="13"/>
    </row>
    <row r="19" spans="1:6" x14ac:dyDescent="0.25">
      <c r="B19" s="16"/>
      <c r="C19" s="13"/>
    </row>
    <row r="20" spans="1:6" x14ac:dyDescent="0.25">
      <c r="C20" s="13"/>
    </row>
    <row r="21" spans="1:6" x14ac:dyDescent="0.25">
      <c r="B21" s="16"/>
      <c r="C21" s="13"/>
    </row>
    <row r="22" spans="1:6" x14ac:dyDescent="0.25">
      <c r="B22" s="16"/>
      <c r="C22" s="13"/>
    </row>
    <row r="23" spans="1:6" x14ac:dyDescent="0.25">
      <c r="C23" s="13"/>
    </row>
    <row r="24" spans="1:6" x14ac:dyDescent="0.25">
      <c r="F24" s="17"/>
    </row>
    <row r="25" spans="1:6" x14ac:dyDescent="0.25">
      <c r="F25" s="18"/>
    </row>
  </sheetData>
  <phoneticPr fontId="10" type="noConversion"/>
  <pageMargins left="0.7" right="0.7" top="0.75" bottom="0.75" header="0.3" footer="0.3"/>
  <pageSetup orientation="landscape" r:id="rId1"/>
  <headerFooter>
    <oddHeader>&amp;C&amp;"Tahoma,Bold"&amp;16FYE 2025 BUDGET WORKER COMPENSATION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9961-6B68-4A74-BEA4-072572F6C2D8}">
  <dimension ref="C3:J7"/>
  <sheetViews>
    <sheetView workbookViewId="0">
      <selection activeCell="D32" sqref="D32"/>
    </sheetView>
  </sheetViews>
  <sheetFormatPr defaultRowHeight="15" x14ac:dyDescent="0.25"/>
  <sheetData>
    <row r="3" spans="3:10" ht="18.75" x14ac:dyDescent="0.25">
      <c r="D3" s="289" t="s">
        <v>59</v>
      </c>
      <c r="E3" s="298"/>
      <c r="F3" s="298"/>
      <c r="G3" s="298"/>
      <c r="H3" s="298"/>
      <c r="I3" s="298"/>
    </row>
    <row r="5" spans="3:10" ht="18.75" x14ac:dyDescent="0.25">
      <c r="C5" s="289" t="s">
        <v>60</v>
      </c>
      <c r="D5" s="290"/>
      <c r="E5" s="290"/>
      <c r="F5" s="290"/>
      <c r="G5" s="290"/>
      <c r="H5" s="290"/>
      <c r="I5" s="290"/>
      <c r="J5" s="290"/>
    </row>
    <row r="7" spans="3:10" ht="18.75" x14ac:dyDescent="0.25">
      <c r="C7" s="289" t="s">
        <v>215</v>
      </c>
      <c r="D7" s="290"/>
      <c r="E7" s="290"/>
      <c r="F7" s="290"/>
      <c r="G7" s="290"/>
      <c r="H7" s="290"/>
      <c r="I7" s="290"/>
      <c r="J7" s="290"/>
    </row>
  </sheetData>
  <mergeCells count="3">
    <mergeCell ref="C5:J5"/>
    <mergeCell ref="D3:I3"/>
    <mergeCell ref="C7:J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F855-35C4-4B20-9234-1616A657236F}">
  <dimension ref="A1:F9"/>
  <sheetViews>
    <sheetView view="pageLayout" zoomScaleNormal="100" workbookViewId="0">
      <selection activeCell="B17" sqref="B17"/>
    </sheetView>
  </sheetViews>
  <sheetFormatPr defaultColWidth="9.140625" defaultRowHeight="12.75" x14ac:dyDescent="0.2"/>
  <cols>
    <col min="1" max="1" width="27.85546875" style="19" customWidth="1"/>
    <col min="2" max="2" width="22" style="19" customWidth="1"/>
    <col min="3" max="3" width="19.85546875" style="19" customWidth="1"/>
    <col min="4" max="4" width="22.28515625" style="19" customWidth="1"/>
    <col min="5" max="5" width="17.85546875" style="19" customWidth="1"/>
    <col min="6" max="6" width="20.140625" style="19" customWidth="1"/>
    <col min="7" max="16384" width="9.140625" style="19"/>
  </cols>
  <sheetData>
    <row r="1" spans="1:6" ht="18" x14ac:dyDescent="0.25">
      <c r="A1" s="238"/>
      <c r="C1" s="41"/>
      <c r="D1" s="40"/>
      <c r="E1" s="39"/>
      <c r="F1" s="39"/>
    </row>
    <row r="2" spans="1:6" ht="36" x14ac:dyDescent="0.25">
      <c r="A2" s="240" t="s">
        <v>321</v>
      </c>
      <c r="C2" s="241">
        <v>63447</v>
      </c>
      <c r="D2" s="38"/>
    </row>
    <row r="3" spans="1:6" ht="18" x14ac:dyDescent="0.25">
      <c r="A3" s="28"/>
      <c r="B3" s="237"/>
      <c r="C3" s="239"/>
    </row>
    <row r="4" spans="1:6" ht="18" x14ac:dyDescent="0.25">
      <c r="A4" s="28"/>
      <c r="B4" s="28"/>
      <c r="C4" s="28"/>
    </row>
    <row r="5" spans="1:6" ht="18" x14ac:dyDescent="0.25">
      <c r="A5" s="20" t="s">
        <v>403</v>
      </c>
      <c r="B5" s="20"/>
      <c r="C5" s="233">
        <v>79484</v>
      </c>
    </row>
    <row r="6" spans="1:6" ht="18" x14ac:dyDescent="0.25">
      <c r="A6" s="309"/>
      <c r="B6" s="309"/>
      <c r="C6" s="309"/>
      <c r="D6" s="309"/>
    </row>
    <row r="7" spans="1:6" ht="18" x14ac:dyDescent="0.25">
      <c r="A7" s="214"/>
      <c r="B7" s="214"/>
      <c r="C7" s="242"/>
      <c r="D7" s="214"/>
    </row>
    <row r="9" spans="1:6" ht="18" x14ac:dyDescent="0.25">
      <c r="A9" s="308" t="s">
        <v>404</v>
      </c>
      <c r="B9" s="308"/>
      <c r="C9" s="308"/>
    </row>
  </sheetData>
  <mergeCells count="2">
    <mergeCell ref="A9:C9"/>
    <mergeCell ref="A6:D6"/>
  </mergeCells>
  <printOptions horizontalCentered="1"/>
  <pageMargins left="0.75" right="0.75" top="1.3333333333333333" bottom="1" header="0.74" footer="0.5"/>
  <pageSetup orientation="landscape" r:id="rId1"/>
  <headerFooter alignWithMargins="0">
    <oddHeader>&amp;C&amp;"Tahoma,Bold"&amp;16FYE 2025 BUDGET (GENERAL LIABILITY INSURANCE)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B845-CEBE-4734-A79A-A418DD0A52EF}">
  <dimension ref="B4:J17"/>
  <sheetViews>
    <sheetView workbookViewId="0">
      <selection activeCell="G18" sqref="G18"/>
    </sheetView>
  </sheetViews>
  <sheetFormatPr defaultRowHeight="15" x14ac:dyDescent="0.25"/>
  <sheetData>
    <row r="4" spans="2:10" ht="18.75" x14ac:dyDescent="0.25">
      <c r="B4" s="289" t="s">
        <v>58</v>
      </c>
      <c r="C4" s="289"/>
      <c r="D4" s="289"/>
      <c r="E4" s="289"/>
      <c r="F4" s="289"/>
      <c r="G4" s="289"/>
      <c r="H4" s="289"/>
      <c r="I4" s="289"/>
      <c r="J4" s="289"/>
    </row>
    <row r="5" spans="2:10" ht="18.75" x14ac:dyDescent="0.25">
      <c r="B5" s="98"/>
      <c r="C5" s="98"/>
      <c r="D5" s="98"/>
      <c r="E5" s="98"/>
      <c r="F5" s="98"/>
      <c r="G5" s="98"/>
      <c r="H5" s="98"/>
      <c r="I5" s="98"/>
      <c r="J5" s="98"/>
    </row>
    <row r="6" spans="2:10" ht="18.75" x14ac:dyDescent="0.25">
      <c r="B6" s="98"/>
      <c r="C6" s="98"/>
      <c r="D6" s="98"/>
      <c r="E6" s="98"/>
      <c r="F6" s="98"/>
      <c r="G6" s="98"/>
      <c r="H6" s="98"/>
      <c r="I6" s="98"/>
      <c r="J6" s="98"/>
    </row>
    <row r="7" spans="2:10" ht="18.75" x14ac:dyDescent="0.25">
      <c r="B7" s="98"/>
      <c r="C7" s="98"/>
      <c r="D7" s="98"/>
      <c r="E7" s="98"/>
      <c r="F7" s="98"/>
      <c r="G7" s="98"/>
      <c r="H7" s="98"/>
      <c r="I7" s="98"/>
      <c r="J7" s="98"/>
    </row>
    <row r="8" spans="2:10" ht="18.75" x14ac:dyDescent="0.25">
      <c r="B8" s="98"/>
      <c r="C8" s="98"/>
      <c r="D8" s="98"/>
      <c r="E8" s="98"/>
      <c r="F8" s="98"/>
      <c r="G8" s="98"/>
      <c r="H8" s="98"/>
      <c r="I8" s="98"/>
      <c r="J8" s="98"/>
    </row>
    <row r="9" spans="2:10" ht="18.75" x14ac:dyDescent="0.25">
      <c r="B9" s="98"/>
      <c r="C9" s="155"/>
      <c r="D9" s="155"/>
      <c r="E9" s="155"/>
      <c r="F9" s="155"/>
      <c r="G9" s="155"/>
      <c r="H9" s="155"/>
      <c r="I9" s="155"/>
      <c r="J9" s="155"/>
    </row>
    <row r="10" spans="2:10" ht="18.75" x14ac:dyDescent="0.25">
      <c r="B10" s="98" t="s">
        <v>133</v>
      </c>
      <c r="C10" s="98"/>
      <c r="D10" s="98"/>
      <c r="E10" s="98"/>
      <c r="F10" s="98"/>
      <c r="G10" s="98"/>
      <c r="H10" s="98"/>
      <c r="I10" s="98"/>
      <c r="J10" s="98"/>
    </row>
    <row r="11" spans="2:10" ht="18.75" x14ac:dyDescent="0.25">
      <c r="B11" s="312" t="s">
        <v>362</v>
      </c>
      <c r="C11" s="312"/>
      <c r="D11" s="312"/>
      <c r="E11" s="312"/>
      <c r="F11" s="312"/>
      <c r="G11" s="312"/>
      <c r="H11" s="312"/>
      <c r="I11" s="312"/>
      <c r="J11" s="312"/>
    </row>
    <row r="12" spans="2:10" ht="18.75" x14ac:dyDescent="0.25">
      <c r="B12" s="312" t="s">
        <v>343</v>
      </c>
      <c r="C12" s="312"/>
      <c r="D12" s="312"/>
      <c r="E12" s="312"/>
      <c r="F12" s="312"/>
      <c r="G12" s="312"/>
      <c r="H12" s="312"/>
      <c r="I12" s="97"/>
      <c r="J12" s="97"/>
    </row>
    <row r="13" spans="2:10" ht="18.75" x14ac:dyDescent="0.25">
      <c r="B13" s="98"/>
      <c r="C13" s="98"/>
      <c r="D13" s="98"/>
      <c r="E13" s="98"/>
      <c r="F13" s="98"/>
      <c r="G13" s="98"/>
      <c r="H13" s="98"/>
      <c r="I13" s="97"/>
      <c r="J13" s="97"/>
    </row>
    <row r="14" spans="2:10" ht="21" x14ac:dyDescent="0.25">
      <c r="B14" s="310" t="s">
        <v>363</v>
      </c>
      <c r="C14" s="311"/>
      <c r="D14" s="311"/>
      <c r="E14" s="311"/>
      <c r="F14" s="311"/>
      <c r="G14" s="311"/>
      <c r="H14" s="311"/>
      <c r="I14" s="311"/>
      <c r="J14" s="311"/>
    </row>
    <row r="15" spans="2:10" ht="18.75" x14ac:dyDescent="0.25">
      <c r="B15" s="97"/>
      <c r="C15" s="97"/>
      <c r="D15" s="97"/>
      <c r="E15" s="97"/>
      <c r="F15" s="97"/>
      <c r="G15" s="97"/>
      <c r="H15" s="97"/>
      <c r="I15" s="97"/>
      <c r="J15" s="97"/>
    </row>
    <row r="16" spans="2:10" ht="18.75" x14ac:dyDescent="0.25">
      <c r="B16" s="97"/>
      <c r="C16" s="97"/>
      <c r="D16" s="97"/>
      <c r="E16" s="97"/>
      <c r="F16" s="97"/>
      <c r="G16" s="97"/>
      <c r="H16" s="97"/>
      <c r="I16" s="97"/>
      <c r="J16" s="97"/>
    </row>
    <row r="17" spans="2:10" ht="18.75" x14ac:dyDescent="0.25">
      <c r="B17" s="97"/>
      <c r="C17" s="97"/>
      <c r="D17" s="97"/>
      <c r="E17" s="97"/>
      <c r="F17" s="97"/>
      <c r="G17" s="97"/>
      <c r="H17" s="97"/>
      <c r="I17" s="97"/>
      <c r="J17" s="97"/>
    </row>
  </sheetData>
  <mergeCells count="4">
    <mergeCell ref="B14:J14"/>
    <mergeCell ref="B4:J4"/>
    <mergeCell ref="B11:J11"/>
    <mergeCell ref="B12:H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62A9-2EAF-472C-985B-ACDE49C6C997}">
  <dimension ref="B3:F14"/>
  <sheetViews>
    <sheetView workbookViewId="0">
      <selection activeCell="G20" sqref="G20"/>
    </sheetView>
  </sheetViews>
  <sheetFormatPr defaultRowHeight="15" x14ac:dyDescent="0.25"/>
  <sheetData>
    <row r="3" spans="2:6" x14ac:dyDescent="0.25">
      <c r="E3" s="50" t="s">
        <v>268</v>
      </c>
    </row>
    <row r="4" spans="2:6" x14ac:dyDescent="0.25">
      <c r="E4" s="50"/>
    </row>
    <row r="8" spans="2:6" x14ac:dyDescent="0.25">
      <c r="B8" t="s">
        <v>132</v>
      </c>
      <c r="F8" t="s">
        <v>140</v>
      </c>
    </row>
    <row r="9" spans="2:6" x14ac:dyDescent="0.25">
      <c r="F9" t="s">
        <v>219</v>
      </c>
    </row>
    <row r="10" spans="2:6" x14ac:dyDescent="0.25">
      <c r="F10" t="s">
        <v>366</v>
      </c>
    </row>
    <row r="12" spans="2:6" x14ac:dyDescent="0.25">
      <c r="B12" t="s">
        <v>383</v>
      </c>
      <c r="F12" s="193">
        <v>50000</v>
      </c>
    </row>
    <row r="14" spans="2:6" ht="21" x14ac:dyDescent="0.35">
      <c r="B14" s="215" t="s">
        <v>384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9C57-013F-4BCB-A39F-F2183B3CE37F}">
  <dimension ref="B3:K14"/>
  <sheetViews>
    <sheetView workbookViewId="0">
      <selection activeCell="E24" sqref="E24"/>
    </sheetView>
  </sheetViews>
  <sheetFormatPr defaultRowHeight="15" x14ac:dyDescent="0.25"/>
  <sheetData>
    <row r="3" spans="2:11" x14ac:dyDescent="0.25">
      <c r="E3" s="50" t="s">
        <v>269</v>
      </c>
    </row>
    <row r="4" spans="2:11" x14ac:dyDescent="0.25">
      <c r="E4" s="50"/>
    </row>
    <row r="5" spans="2:11" x14ac:dyDescent="0.25">
      <c r="K5" s="110"/>
    </row>
    <row r="6" spans="2:11" x14ac:dyDescent="0.25">
      <c r="B6" t="s">
        <v>322</v>
      </c>
      <c r="K6" s="110"/>
    </row>
    <row r="7" spans="2:11" x14ac:dyDescent="0.25">
      <c r="B7" t="s">
        <v>323</v>
      </c>
    </row>
    <row r="8" spans="2:11" x14ac:dyDescent="0.25">
      <c r="B8" t="s">
        <v>324</v>
      </c>
    </row>
    <row r="10" spans="2:11" x14ac:dyDescent="0.25">
      <c r="B10" t="s">
        <v>170</v>
      </c>
    </row>
    <row r="11" spans="2:11" x14ac:dyDescent="0.25">
      <c r="B11" t="s">
        <v>171</v>
      </c>
    </row>
    <row r="14" spans="2:11" ht="21" x14ac:dyDescent="0.35">
      <c r="B14" s="215" t="s">
        <v>325</v>
      </c>
      <c r="C14" s="216"/>
      <c r="D14" s="2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6302-4D96-46D7-9CF9-09AD0169DCA7}">
  <dimension ref="A3:S26"/>
  <sheetViews>
    <sheetView workbookViewId="0">
      <selection activeCell="L17" sqref="L17"/>
    </sheetView>
  </sheetViews>
  <sheetFormatPr defaultRowHeight="15" x14ac:dyDescent="0.25"/>
  <cols>
    <col min="5" max="5" width="12" customWidth="1"/>
    <col min="6" max="6" width="16.5703125" customWidth="1"/>
    <col min="11" max="11" width="10" bestFit="1" customWidth="1"/>
    <col min="13" max="13" width="11.42578125" bestFit="1" customWidth="1"/>
    <col min="19" max="19" width="12" customWidth="1"/>
  </cols>
  <sheetData>
    <row r="3" spans="1:19" ht="18.75" x14ac:dyDescent="0.3">
      <c r="A3" s="52"/>
      <c r="B3" s="52"/>
      <c r="C3" s="52"/>
      <c r="D3" s="52"/>
      <c r="E3" s="112" t="s">
        <v>270</v>
      </c>
      <c r="F3" s="52"/>
      <c r="G3" s="52"/>
      <c r="H3" s="52"/>
      <c r="I3" s="52"/>
      <c r="J3" s="52"/>
      <c r="K3" s="52"/>
      <c r="L3" s="52"/>
      <c r="M3" s="52"/>
    </row>
    <row r="4" spans="1:19" ht="18.75" x14ac:dyDescent="0.3">
      <c r="A4" s="52"/>
      <c r="B4" s="52"/>
      <c r="C4" s="52"/>
      <c r="D4" s="52"/>
      <c r="E4" s="112"/>
      <c r="F4" s="52"/>
      <c r="G4" s="52"/>
      <c r="H4" s="52"/>
      <c r="I4" s="52"/>
      <c r="J4" s="52"/>
      <c r="K4" s="52"/>
      <c r="L4" s="52"/>
      <c r="M4" s="52"/>
    </row>
    <row r="5" spans="1:19" ht="18.75" x14ac:dyDescent="0.3">
      <c r="A5" s="52"/>
      <c r="B5" s="52"/>
      <c r="C5" s="52"/>
      <c r="D5" s="52"/>
      <c r="E5" s="177"/>
      <c r="F5" s="52"/>
      <c r="G5" s="52"/>
      <c r="H5" s="52"/>
      <c r="I5" s="52"/>
      <c r="J5" s="52"/>
      <c r="K5" s="52"/>
      <c r="L5" s="52"/>
      <c r="M5" s="52"/>
    </row>
    <row r="6" spans="1:19" ht="18.75" x14ac:dyDescent="0.3">
      <c r="A6" s="52"/>
      <c r="B6" s="52"/>
      <c r="C6" s="52"/>
      <c r="D6" s="52"/>
      <c r="E6" s="177"/>
      <c r="F6" s="52"/>
      <c r="G6" s="52"/>
      <c r="H6" s="52"/>
      <c r="I6" s="52"/>
      <c r="J6" s="52"/>
      <c r="K6" s="52"/>
      <c r="L6" s="52"/>
      <c r="M6" s="52"/>
    </row>
    <row r="7" spans="1:19" ht="18.75" x14ac:dyDescent="0.3">
      <c r="A7" s="52"/>
      <c r="G7" s="177"/>
      <c r="H7" s="52"/>
      <c r="I7" s="52"/>
      <c r="J7" s="52"/>
      <c r="K7" s="52"/>
      <c r="L7" s="52"/>
      <c r="M7" s="52"/>
    </row>
    <row r="8" spans="1:19" ht="18.75" x14ac:dyDescent="0.3">
      <c r="A8" s="52"/>
      <c r="B8" s="52" t="s">
        <v>181</v>
      </c>
      <c r="C8" s="52"/>
      <c r="D8" s="52"/>
      <c r="E8" s="52"/>
      <c r="F8" s="230">
        <v>2000</v>
      </c>
      <c r="G8" s="52"/>
      <c r="H8" s="52"/>
      <c r="I8" s="52"/>
      <c r="J8" s="52"/>
      <c r="K8" s="52"/>
      <c r="L8" s="52"/>
      <c r="M8" s="52"/>
    </row>
    <row r="9" spans="1:19" ht="18.75" x14ac:dyDescent="0.3">
      <c r="A9" s="52"/>
      <c r="B9" s="52" t="s">
        <v>222</v>
      </c>
      <c r="C9" s="52"/>
      <c r="D9" s="52"/>
      <c r="E9" s="52"/>
      <c r="F9" s="230">
        <v>1800</v>
      </c>
      <c r="G9" s="52"/>
      <c r="H9" s="52"/>
      <c r="I9" s="52"/>
      <c r="J9" s="52"/>
      <c r="K9" s="52"/>
      <c r="L9" s="52"/>
      <c r="M9" s="52"/>
    </row>
    <row r="10" spans="1:19" ht="18.75" x14ac:dyDescent="0.3">
      <c r="A10" s="52"/>
      <c r="B10" s="52" t="s">
        <v>184</v>
      </c>
      <c r="C10" s="52"/>
      <c r="D10" s="52"/>
      <c r="E10" s="52"/>
      <c r="F10" s="230">
        <v>1200</v>
      </c>
      <c r="G10" s="52"/>
      <c r="H10" s="52"/>
      <c r="I10" s="52"/>
      <c r="J10" s="52"/>
      <c r="K10" s="52"/>
      <c r="L10" s="52"/>
      <c r="M10" s="52"/>
    </row>
    <row r="11" spans="1:19" ht="18.75" x14ac:dyDescent="0.3">
      <c r="A11" s="52"/>
      <c r="B11" s="287" t="s">
        <v>217</v>
      </c>
      <c r="C11" s="287"/>
      <c r="D11" s="287"/>
      <c r="E11" s="287"/>
      <c r="F11" s="229">
        <v>3600</v>
      </c>
      <c r="G11" s="52"/>
      <c r="H11" s="287"/>
      <c r="I11" s="287"/>
      <c r="J11" s="287"/>
      <c r="K11" s="287"/>
      <c r="L11" s="287"/>
      <c r="M11" s="287"/>
      <c r="N11" s="288"/>
      <c r="O11" s="288"/>
      <c r="P11" s="288"/>
      <c r="Q11" s="288"/>
      <c r="R11" s="52"/>
      <c r="S11" s="52"/>
    </row>
    <row r="12" spans="1:19" ht="18.75" x14ac:dyDescent="0.3">
      <c r="A12" s="52"/>
      <c r="B12" s="52" t="s">
        <v>364</v>
      </c>
      <c r="C12" s="52"/>
      <c r="D12" s="52"/>
      <c r="E12" s="52"/>
      <c r="F12" s="229">
        <v>800</v>
      </c>
      <c r="G12" s="52"/>
      <c r="H12" s="52"/>
      <c r="I12" s="52"/>
      <c r="J12" s="52"/>
      <c r="K12" s="52"/>
      <c r="L12" s="52"/>
      <c r="M12" s="52"/>
      <c r="R12" s="52"/>
      <c r="S12" s="52"/>
    </row>
    <row r="13" spans="1:19" ht="18.75" x14ac:dyDescent="0.3">
      <c r="A13" s="52"/>
      <c r="B13" s="287" t="s">
        <v>218</v>
      </c>
      <c r="C13" s="288"/>
      <c r="D13" s="288"/>
      <c r="E13" s="288"/>
      <c r="F13" s="229">
        <v>1500</v>
      </c>
      <c r="G13" s="52"/>
      <c r="H13" s="112"/>
      <c r="I13" s="52"/>
      <c r="J13" s="52"/>
      <c r="K13" s="52"/>
      <c r="L13" s="52"/>
      <c r="M13" s="52"/>
    </row>
    <row r="14" spans="1:19" ht="18.75" x14ac:dyDescent="0.3">
      <c r="A14" s="52"/>
      <c r="B14" s="52" t="s">
        <v>182</v>
      </c>
      <c r="C14" s="52"/>
      <c r="D14" s="52"/>
      <c r="E14" s="52"/>
      <c r="F14" s="230">
        <v>900</v>
      </c>
      <c r="G14" s="52"/>
      <c r="H14" s="52"/>
      <c r="I14" s="52"/>
      <c r="J14" s="52"/>
      <c r="K14" s="52"/>
      <c r="L14" s="52"/>
      <c r="M14" s="52"/>
    </row>
    <row r="15" spans="1:19" ht="18.75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9" ht="18.7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Q16" s="52"/>
      <c r="R16" s="52"/>
      <c r="S16" s="175"/>
    </row>
    <row r="17" spans="1:19" ht="18.75" x14ac:dyDescent="0.3">
      <c r="A17" s="52"/>
      <c r="B17" s="52"/>
      <c r="C17" s="52"/>
      <c r="D17" s="52" t="s">
        <v>180</v>
      </c>
      <c r="E17" s="52"/>
      <c r="F17" s="175">
        <f>SUM(F8:F14)</f>
        <v>11800</v>
      </c>
      <c r="G17" s="52"/>
      <c r="H17" s="52"/>
      <c r="I17" s="52"/>
      <c r="J17" s="52"/>
      <c r="Q17" s="52"/>
      <c r="R17" s="52"/>
      <c r="S17" s="192"/>
    </row>
    <row r="18" spans="1:19" ht="18.75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  <c r="Q18" s="52"/>
      <c r="R18" s="52"/>
      <c r="S18" s="192"/>
    </row>
    <row r="19" spans="1:19" ht="21" x14ac:dyDescent="0.35">
      <c r="A19" s="52"/>
      <c r="B19" s="52"/>
      <c r="C19" s="215" t="s">
        <v>365</v>
      </c>
      <c r="D19" s="215"/>
      <c r="E19" s="215"/>
      <c r="F19" s="216"/>
      <c r="G19" s="52"/>
      <c r="H19" s="52"/>
      <c r="I19" s="52"/>
      <c r="J19" s="52"/>
      <c r="Q19" s="192"/>
      <c r="R19" s="52"/>
      <c r="S19" s="192"/>
    </row>
    <row r="20" spans="1:19" ht="18.75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  <c r="Q20" s="52"/>
      <c r="R20" s="52"/>
      <c r="S20" s="192"/>
    </row>
    <row r="21" spans="1:19" ht="18.75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9" ht="18.75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S22" s="193"/>
    </row>
    <row r="23" spans="1:19" ht="18.75" x14ac:dyDescent="0.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9" ht="18.75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9" ht="18.75" x14ac:dyDescent="0.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9" ht="18.75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3">
    <mergeCell ref="B13:E13"/>
    <mergeCell ref="B11:E11"/>
    <mergeCell ref="H11:Q1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E9721-3D0E-4A51-9850-A2072C8DE573}">
  <dimension ref="B3:H28"/>
  <sheetViews>
    <sheetView workbookViewId="0">
      <selection activeCell="G31" sqref="G31"/>
    </sheetView>
  </sheetViews>
  <sheetFormatPr defaultRowHeight="15" x14ac:dyDescent="0.25"/>
  <cols>
    <col min="6" max="6" width="10.140625" bestFit="1" customWidth="1"/>
  </cols>
  <sheetData>
    <row r="3" spans="2:7" ht="21" x14ac:dyDescent="0.35">
      <c r="E3" s="215" t="s">
        <v>243</v>
      </c>
    </row>
    <row r="4" spans="2:7" x14ac:dyDescent="0.25">
      <c r="E4" s="50"/>
    </row>
    <row r="5" spans="2:7" x14ac:dyDescent="0.25">
      <c r="B5" t="s">
        <v>213</v>
      </c>
      <c r="E5" s="50"/>
      <c r="F5" s="187">
        <v>4300</v>
      </c>
    </row>
    <row r="6" spans="2:7" x14ac:dyDescent="0.25">
      <c r="E6" s="110"/>
      <c r="F6" s="109"/>
    </row>
    <row r="7" spans="2:7" x14ac:dyDescent="0.25">
      <c r="B7" t="s">
        <v>175</v>
      </c>
      <c r="E7" s="110"/>
      <c r="F7" s="109">
        <v>2200</v>
      </c>
    </row>
    <row r="8" spans="2:7" x14ac:dyDescent="0.25">
      <c r="F8" s="109"/>
      <c r="G8" s="110"/>
    </row>
    <row r="9" spans="2:7" x14ac:dyDescent="0.25">
      <c r="B9" t="s">
        <v>216</v>
      </c>
      <c r="F9" s="109">
        <v>5000</v>
      </c>
    </row>
    <row r="10" spans="2:7" x14ac:dyDescent="0.25">
      <c r="F10" s="109"/>
    </row>
    <row r="11" spans="2:7" x14ac:dyDescent="0.25">
      <c r="B11" t="s">
        <v>391</v>
      </c>
      <c r="F11" s="109">
        <v>2600</v>
      </c>
    </row>
    <row r="12" spans="2:7" x14ac:dyDescent="0.25">
      <c r="E12" s="110"/>
      <c r="F12" s="109"/>
    </row>
    <row r="13" spans="2:7" x14ac:dyDescent="0.25">
      <c r="B13" t="s">
        <v>172</v>
      </c>
      <c r="E13" s="110"/>
      <c r="F13" s="109"/>
    </row>
    <row r="14" spans="2:7" x14ac:dyDescent="0.25">
      <c r="C14" t="s">
        <v>173</v>
      </c>
      <c r="F14" s="109">
        <v>820</v>
      </c>
    </row>
    <row r="15" spans="2:7" x14ac:dyDescent="0.25">
      <c r="C15" t="s">
        <v>174</v>
      </c>
      <c r="F15" s="109">
        <v>340</v>
      </c>
    </row>
    <row r="16" spans="2:7" x14ac:dyDescent="0.25">
      <c r="C16" t="s">
        <v>212</v>
      </c>
      <c r="F16" s="187">
        <v>80</v>
      </c>
    </row>
    <row r="17" spans="2:8" x14ac:dyDescent="0.25">
      <c r="C17" t="s">
        <v>242</v>
      </c>
      <c r="F17" s="193">
        <v>400</v>
      </c>
    </row>
    <row r="19" spans="2:8" x14ac:dyDescent="0.25">
      <c r="B19" s="154" t="s">
        <v>271</v>
      </c>
      <c r="C19" s="154"/>
      <c r="D19" s="154"/>
      <c r="E19" s="154"/>
      <c r="F19" s="231">
        <v>4000</v>
      </c>
      <c r="G19" s="154"/>
      <c r="H19" s="154" t="s">
        <v>272</v>
      </c>
    </row>
    <row r="20" spans="2:8" x14ac:dyDescent="0.25">
      <c r="F20" s="193"/>
    </row>
    <row r="21" spans="2:8" x14ac:dyDescent="0.25">
      <c r="F21" s="193"/>
    </row>
    <row r="22" spans="2:8" x14ac:dyDescent="0.25">
      <c r="F22" s="109"/>
    </row>
    <row r="23" spans="2:8" x14ac:dyDescent="0.25">
      <c r="B23" t="s">
        <v>241</v>
      </c>
      <c r="F23" s="109">
        <v>180</v>
      </c>
    </row>
    <row r="25" spans="2:8" x14ac:dyDescent="0.25">
      <c r="F25" s="193">
        <f>SUM(F5:F23)</f>
        <v>19920</v>
      </c>
    </row>
    <row r="28" spans="2:8" ht="21" x14ac:dyDescent="0.35">
      <c r="B28" s="215" t="s">
        <v>392</v>
      </c>
      <c r="C28" s="216"/>
      <c r="D28" s="2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BCFD-DBBD-459B-B63C-8C8C055088FE}">
  <dimension ref="C3:L14"/>
  <sheetViews>
    <sheetView workbookViewId="0">
      <selection activeCell="E19" sqref="E19"/>
    </sheetView>
  </sheetViews>
  <sheetFormatPr defaultRowHeight="15" x14ac:dyDescent="0.25"/>
  <cols>
    <col min="5" max="5" width="14.28515625" bestFit="1" customWidth="1"/>
    <col min="7" max="7" width="10" bestFit="1" customWidth="1"/>
    <col min="10" max="10" width="17" customWidth="1"/>
    <col min="11" max="11" width="12.7109375" bestFit="1" customWidth="1"/>
    <col min="12" max="12" width="10.5703125" bestFit="1" customWidth="1"/>
  </cols>
  <sheetData>
    <row r="3" spans="3:12" ht="18.75" x14ac:dyDescent="0.3">
      <c r="C3" s="52"/>
      <c r="D3" s="52"/>
      <c r="E3" s="52"/>
      <c r="F3" s="112" t="s">
        <v>273</v>
      </c>
      <c r="G3" s="52"/>
      <c r="H3" s="52"/>
      <c r="I3" s="52"/>
      <c r="J3" s="52"/>
      <c r="K3" s="52"/>
    </row>
    <row r="4" spans="3:12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2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2" ht="18.75" x14ac:dyDescent="0.3">
      <c r="C6" s="52" t="s">
        <v>326</v>
      </c>
      <c r="D6" s="52"/>
      <c r="E6" s="52"/>
      <c r="F6" s="52"/>
      <c r="G6" s="52"/>
      <c r="H6" s="52"/>
      <c r="I6" s="52"/>
      <c r="J6" s="52"/>
      <c r="K6" s="52"/>
      <c r="L6" s="178">
        <v>7500</v>
      </c>
    </row>
    <row r="7" spans="3:12" ht="18.75" x14ac:dyDescent="0.3">
      <c r="C7" s="52" t="s">
        <v>176</v>
      </c>
      <c r="D7" s="52"/>
      <c r="E7" s="52"/>
      <c r="F7" s="52"/>
      <c r="G7" s="175"/>
      <c r="H7" s="52"/>
      <c r="I7" s="52"/>
      <c r="J7" s="52"/>
      <c r="K7" s="113"/>
      <c r="L7" s="178">
        <v>4200</v>
      </c>
    </row>
    <row r="8" spans="3:12" ht="18.75" x14ac:dyDescent="0.3">
      <c r="C8" s="52" t="s">
        <v>134</v>
      </c>
      <c r="D8" s="52"/>
      <c r="E8" s="52"/>
      <c r="F8" s="52"/>
      <c r="G8" s="175"/>
      <c r="H8" s="52"/>
      <c r="I8" s="52"/>
      <c r="J8" s="52"/>
      <c r="K8" s="113"/>
      <c r="L8" s="178">
        <v>2000</v>
      </c>
    </row>
    <row r="9" spans="3:12" ht="18.75" x14ac:dyDescent="0.3">
      <c r="C9" s="52" t="s">
        <v>327</v>
      </c>
      <c r="D9" s="52"/>
      <c r="E9" s="52"/>
      <c r="F9" s="52"/>
      <c r="G9" s="52"/>
      <c r="H9" s="52"/>
      <c r="I9" s="52"/>
      <c r="J9" s="52"/>
      <c r="K9" s="113"/>
      <c r="L9" s="178">
        <v>0</v>
      </c>
    </row>
    <row r="10" spans="3:12" ht="18.75" x14ac:dyDescent="0.3">
      <c r="C10" s="52" t="s">
        <v>367</v>
      </c>
      <c r="D10" s="52"/>
      <c r="E10" s="52"/>
      <c r="F10" s="52"/>
      <c r="G10" s="52"/>
      <c r="H10" s="52"/>
      <c r="I10" s="52"/>
      <c r="J10" s="52"/>
      <c r="K10" s="113"/>
      <c r="L10" s="178">
        <v>1500</v>
      </c>
    </row>
    <row r="11" spans="3:12" ht="18.75" x14ac:dyDescent="0.3">
      <c r="C11" s="52" t="s">
        <v>328</v>
      </c>
      <c r="D11" s="52"/>
      <c r="E11" s="52"/>
      <c r="F11" s="52"/>
      <c r="G11" s="52"/>
      <c r="H11" s="52"/>
      <c r="I11" s="52"/>
      <c r="J11" s="52"/>
      <c r="K11" s="52"/>
      <c r="L11" s="178">
        <v>1500</v>
      </c>
    </row>
    <row r="12" spans="3:12" ht="18.75" x14ac:dyDescent="0.3">
      <c r="C12" s="52"/>
      <c r="D12" s="52"/>
      <c r="E12" s="52"/>
      <c r="F12" s="52"/>
      <c r="G12" s="52"/>
      <c r="H12" s="52"/>
      <c r="I12" s="52"/>
      <c r="J12" s="52"/>
      <c r="K12" s="52"/>
      <c r="L12" s="178"/>
    </row>
    <row r="13" spans="3:12" ht="18.75" x14ac:dyDescent="0.3">
      <c r="C13" s="112" t="s">
        <v>399</v>
      </c>
      <c r="D13" s="112"/>
      <c r="E13" s="181"/>
      <c r="F13" s="52"/>
      <c r="G13" s="52"/>
      <c r="H13" s="52"/>
      <c r="I13" s="52"/>
      <c r="J13" s="52"/>
      <c r="K13" s="52"/>
      <c r="L13" s="178">
        <f>SUM(L6:L11)</f>
        <v>16700</v>
      </c>
    </row>
    <row r="14" spans="3:12" ht="18.75" x14ac:dyDescent="0.3">
      <c r="C14" s="52"/>
      <c r="D14" s="52"/>
      <c r="E14" s="52"/>
      <c r="F14" s="52"/>
      <c r="G14" s="52"/>
      <c r="H14" s="52"/>
      <c r="I14" s="52"/>
      <c r="J14" s="52"/>
      <c r="K14" s="5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0426-7B1F-4B06-A7C5-3EA3773D2FC2}">
  <dimension ref="C3:X24"/>
  <sheetViews>
    <sheetView workbookViewId="0">
      <selection activeCell="I24" sqref="I24"/>
    </sheetView>
  </sheetViews>
  <sheetFormatPr defaultRowHeight="15" x14ac:dyDescent="0.25"/>
  <cols>
    <col min="5" max="5" width="14.28515625" bestFit="1" customWidth="1"/>
    <col min="7" max="7" width="14.28515625" customWidth="1"/>
    <col min="8" max="8" width="10" customWidth="1"/>
    <col min="11" max="11" width="17" customWidth="1"/>
    <col min="12" max="12" width="12.7109375" bestFit="1" customWidth="1"/>
  </cols>
  <sheetData>
    <row r="3" spans="3:24" ht="18.75" x14ac:dyDescent="0.3">
      <c r="C3" s="52"/>
      <c r="D3" s="52"/>
      <c r="E3" s="52"/>
      <c r="F3" s="112" t="s">
        <v>274</v>
      </c>
      <c r="G3" s="52"/>
      <c r="H3" s="52"/>
      <c r="I3" s="52"/>
      <c r="J3" s="52"/>
      <c r="K3" s="52"/>
      <c r="L3" s="52"/>
    </row>
    <row r="4" spans="3:24" ht="18.75" x14ac:dyDescent="0.3"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3:24" ht="18.75" x14ac:dyDescent="0.3"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3:24" ht="18.75" x14ac:dyDescent="0.3">
      <c r="C6" s="52" t="s">
        <v>177</v>
      </c>
      <c r="D6" s="52"/>
      <c r="E6" s="52"/>
      <c r="F6" s="52"/>
      <c r="H6" s="175">
        <v>700</v>
      </c>
      <c r="I6" s="52"/>
      <c r="J6" s="52"/>
      <c r="K6" s="52"/>
      <c r="L6" s="52"/>
    </row>
    <row r="7" spans="3:24" ht="18.75" x14ac:dyDescent="0.3">
      <c r="C7" s="52"/>
      <c r="D7" s="52"/>
      <c r="E7" s="52"/>
      <c r="F7" s="52"/>
      <c r="H7" s="175"/>
      <c r="I7" s="52"/>
      <c r="J7" s="52"/>
      <c r="K7" s="52"/>
      <c r="L7" s="113"/>
    </row>
    <row r="8" spans="3:24" ht="18.75" x14ac:dyDescent="0.3">
      <c r="C8" s="52" t="s">
        <v>178</v>
      </c>
      <c r="D8" s="52"/>
      <c r="E8" s="52"/>
      <c r="F8" s="52"/>
      <c r="H8" s="175">
        <v>1740</v>
      </c>
      <c r="I8" s="52"/>
      <c r="J8" s="52"/>
      <c r="K8" s="52"/>
      <c r="L8" s="113"/>
    </row>
    <row r="9" spans="3:24" ht="18.75" x14ac:dyDescent="0.3">
      <c r="C9" s="52"/>
      <c r="D9" s="52"/>
      <c r="E9" s="52"/>
      <c r="F9" s="52"/>
      <c r="H9" s="52"/>
      <c r="I9" s="52"/>
      <c r="J9" s="52"/>
      <c r="K9" s="52"/>
      <c r="L9" s="113"/>
    </row>
    <row r="10" spans="3:24" ht="18.75" x14ac:dyDescent="0.3">
      <c r="C10" s="52" t="s">
        <v>179</v>
      </c>
      <c r="D10" s="52"/>
      <c r="E10" s="52"/>
      <c r="F10" s="52"/>
      <c r="H10" s="175">
        <v>4690</v>
      </c>
      <c r="I10" s="52"/>
      <c r="J10" s="52" t="s">
        <v>214</v>
      </c>
      <c r="L10" s="52"/>
      <c r="O10" s="52" t="s">
        <v>372</v>
      </c>
    </row>
    <row r="11" spans="3:24" ht="18.75" x14ac:dyDescent="0.3">
      <c r="C11" s="52"/>
      <c r="D11" s="52"/>
      <c r="E11" s="52"/>
      <c r="F11" s="52"/>
      <c r="H11" s="52"/>
      <c r="I11" s="52"/>
      <c r="J11" s="52" t="s">
        <v>369</v>
      </c>
      <c r="L11" s="52"/>
      <c r="O11" s="52" t="s">
        <v>371</v>
      </c>
      <c r="Q11" s="52"/>
      <c r="R11" s="52"/>
      <c r="S11" s="52"/>
      <c r="T11" s="52"/>
      <c r="U11" s="52"/>
      <c r="V11" s="52"/>
      <c r="W11" s="52"/>
      <c r="X11" s="52"/>
    </row>
    <row r="12" spans="3:24" ht="18.75" x14ac:dyDescent="0.3">
      <c r="C12" s="52" t="s">
        <v>229</v>
      </c>
      <c r="D12" s="52"/>
      <c r="E12" s="52"/>
      <c r="F12" s="52"/>
      <c r="H12" s="175">
        <v>120</v>
      </c>
      <c r="I12" s="52"/>
      <c r="J12" s="52"/>
      <c r="K12" s="52"/>
      <c r="L12" s="52"/>
    </row>
    <row r="13" spans="3:24" ht="18.75" x14ac:dyDescent="0.3">
      <c r="C13" s="52"/>
      <c r="D13" s="52"/>
      <c r="E13" s="52"/>
      <c r="F13" s="52"/>
      <c r="H13" s="52"/>
      <c r="I13" s="52"/>
      <c r="J13" s="52"/>
      <c r="K13" s="52"/>
      <c r="L13" s="52"/>
    </row>
    <row r="14" spans="3:24" ht="18.75" x14ac:dyDescent="0.3">
      <c r="C14" s="179" t="s">
        <v>275</v>
      </c>
      <c r="D14" s="179"/>
      <c r="E14" s="179"/>
      <c r="F14" s="179"/>
      <c r="G14" s="154"/>
      <c r="H14" s="179">
        <v>600</v>
      </c>
      <c r="I14" s="154"/>
      <c r="J14" s="179" t="s">
        <v>276</v>
      </c>
    </row>
    <row r="16" spans="3:24" ht="18.75" x14ac:dyDescent="0.3">
      <c r="C16" s="179" t="s">
        <v>361</v>
      </c>
      <c r="D16" s="179"/>
      <c r="E16" s="179"/>
      <c r="F16" s="179"/>
      <c r="G16" s="179"/>
      <c r="H16" s="259">
        <v>250</v>
      </c>
      <c r="I16" s="154"/>
      <c r="J16" s="179" t="s">
        <v>276</v>
      </c>
    </row>
    <row r="18" spans="3:8" ht="18.75" x14ac:dyDescent="0.3">
      <c r="C18" s="52" t="s">
        <v>370</v>
      </c>
      <c r="D18" s="52"/>
      <c r="E18" s="52"/>
      <c r="F18" s="52"/>
      <c r="G18" s="52"/>
      <c r="H18" s="178">
        <v>300</v>
      </c>
    </row>
    <row r="20" spans="3:8" ht="18.75" x14ac:dyDescent="0.3">
      <c r="E20" s="180" t="s">
        <v>180</v>
      </c>
      <c r="H20" s="175">
        <f>SUM(H6:H18)</f>
        <v>8400</v>
      </c>
    </row>
    <row r="24" spans="3:8" ht="18.75" x14ac:dyDescent="0.3">
      <c r="D24" s="112"/>
      <c r="E24" s="112" t="s">
        <v>373</v>
      </c>
      <c r="F24" s="50"/>
      <c r="G24" s="50"/>
      <c r="H24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641B-7F21-4256-887C-ECBEB3F4CFEB}">
  <dimension ref="A1:J14"/>
  <sheetViews>
    <sheetView view="pageLayout" zoomScaleNormal="100" workbookViewId="0">
      <selection activeCell="F12" sqref="F12"/>
    </sheetView>
  </sheetViews>
  <sheetFormatPr defaultColWidth="9.140625" defaultRowHeight="18" x14ac:dyDescent="0.25"/>
  <cols>
    <col min="1" max="1" width="26.28515625" style="21" customWidth="1"/>
    <col min="2" max="2" width="12.42578125" style="21" customWidth="1"/>
    <col min="3" max="3" width="13.140625" style="20" customWidth="1"/>
    <col min="4" max="4" width="10.5703125" style="20" customWidth="1"/>
    <col min="5" max="5" width="12.7109375" style="20" customWidth="1"/>
    <col min="6" max="6" width="13.85546875" style="20" customWidth="1"/>
    <col min="7" max="7" width="18.5703125" style="20" customWidth="1"/>
    <col min="8" max="8" width="16.28515625" style="20" customWidth="1"/>
    <col min="9" max="9" width="15" style="20" customWidth="1"/>
    <col min="10" max="10" width="12.5703125" style="20" customWidth="1"/>
    <col min="11" max="16384" width="9.140625" style="20"/>
  </cols>
  <sheetData>
    <row r="1" spans="1:10" s="27" customFormat="1" ht="35.25" customHeight="1" thickTop="1" x14ac:dyDescent="0.25">
      <c r="A1" s="34" t="s">
        <v>0</v>
      </c>
      <c r="B1" s="72" t="s">
        <v>230</v>
      </c>
      <c r="C1" s="77" t="s">
        <v>231</v>
      </c>
      <c r="D1" s="72" t="s">
        <v>143</v>
      </c>
      <c r="E1" s="72" t="s">
        <v>158</v>
      </c>
      <c r="F1" s="72" t="s">
        <v>122</v>
      </c>
      <c r="G1" s="78" t="s">
        <v>233</v>
      </c>
      <c r="H1" s="62" t="s">
        <v>125</v>
      </c>
      <c r="I1" s="79" t="s">
        <v>119</v>
      </c>
      <c r="J1" s="62"/>
    </row>
    <row r="2" spans="1:10" x14ac:dyDescent="0.25">
      <c r="A2" s="25"/>
      <c r="B2" s="76"/>
      <c r="C2" s="24"/>
      <c r="D2" s="138"/>
      <c r="E2" s="75"/>
      <c r="F2" s="74"/>
      <c r="G2" s="61"/>
      <c r="H2" s="64"/>
      <c r="I2" s="80"/>
      <c r="J2" s="122"/>
    </row>
    <row r="3" spans="1:10" x14ac:dyDescent="0.25">
      <c r="A3" s="25" t="s">
        <v>14</v>
      </c>
      <c r="B3" s="61">
        <v>300</v>
      </c>
      <c r="C3" s="35">
        <v>3600</v>
      </c>
      <c r="D3" s="138"/>
      <c r="E3" s="61">
        <v>300</v>
      </c>
      <c r="F3" s="73">
        <v>12</v>
      </c>
      <c r="G3" s="61">
        <f>E3*F3</f>
        <v>3600</v>
      </c>
      <c r="H3" s="63">
        <v>0</v>
      </c>
      <c r="I3" s="80">
        <v>0</v>
      </c>
      <c r="J3" s="123"/>
    </row>
    <row r="4" spans="1:10" x14ac:dyDescent="0.25">
      <c r="A4" s="25" t="s">
        <v>15</v>
      </c>
      <c r="B4" s="61">
        <v>300</v>
      </c>
      <c r="C4" s="35">
        <v>3600</v>
      </c>
      <c r="D4" s="138"/>
      <c r="E4" s="61">
        <v>300</v>
      </c>
      <c r="F4" s="73">
        <v>12</v>
      </c>
      <c r="G4" s="61">
        <f>E4*F4</f>
        <v>3600</v>
      </c>
      <c r="H4" s="65">
        <v>0</v>
      </c>
      <c r="I4" s="80">
        <v>0</v>
      </c>
      <c r="J4" s="123"/>
    </row>
    <row r="5" spans="1:10" x14ac:dyDescent="0.25">
      <c r="A5" s="25" t="s">
        <v>16</v>
      </c>
      <c r="B5" s="61">
        <v>300</v>
      </c>
      <c r="C5" s="35">
        <v>3600</v>
      </c>
      <c r="D5" s="138"/>
      <c r="E5" s="61">
        <v>300</v>
      </c>
      <c r="F5" s="73">
        <v>12</v>
      </c>
      <c r="G5" s="61">
        <f>E5*F5</f>
        <v>3600</v>
      </c>
      <c r="H5" s="65">
        <v>0</v>
      </c>
      <c r="I5" s="80">
        <v>0</v>
      </c>
      <c r="J5" s="123"/>
    </row>
    <row r="6" spans="1:10" ht="18.75" thickBot="1" x14ac:dyDescent="0.3">
      <c r="A6" s="42"/>
      <c r="B6" s="66"/>
      <c r="C6" s="68"/>
      <c r="D6" s="66"/>
      <c r="E6" s="66"/>
      <c r="F6" s="66"/>
      <c r="G6" s="66"/>
      <c r="H6" s="67"/>
      <c r="I6" s="81"/>
      <c r="J6" s="83"/>
    </row>
    <row r="7" spans="1:10" ht="18.75" thickBot="1" x14ac:dyDescent="0.3">
      <c r="A7" s="70" t="s">
        <v>4</v>
      </c>
      <c r="B7" s="71"/>
      <c r="C7" s="71"/>
      <c r="D7" s="71"/>
      <c r="E7" s="71"/>
      <c r="F7" s="71"/>
      <c r="G7" s="71">
        <f>SUM(G2:G5)</f>
        <v>10800</v>
      </c>
      <c r="H7" s="69">
        <f>SUM(H2:H5)</f>
        <v>0</v>
      </c>
      <c r="I7" s="82">
        <f>SUM(I2:I5)</f>
        <v>0</v>
      </c>
      <c r="J7" s="84"/>
    </row>
    <row r="8" spans="1:10" x14ac:dyDescent="0.25">
      <c r="A8" s="43"/>
      <c r="C8" s="282"/>
      <c r="D8" s="282"/>
      <c r="E8" s="282"/>
      <c r="F8" s="282"/>
      <c r="G8" s="282"/>
      <c r="H8" s="282"/>
      <c r="I8" s="23"/>
    </row>
    <row r="9" spans="1:10" x14ac:dyDescent="0.25">
      <c r="A9" s="280" t="s">
        <v>120</v>
      </c>
      <c r="B9" s="280"/>
      <c r="C9" s="281"/>
      <c r="D9" s="125"/>
      <c r="E9" s="125"/>
      <c r="F9" s="125"/>
      <c r="G9" s="126">
        <f>G7+H7+I7</f>
        <v>10800</v>
      </c>
      <c r="H9" s="125"/>
      <c r="I9" s="127"/>
      <c r="J9" s="127"/>
    </row>
    <row r="10" spans="1:10" x14ac:dyDescent="0.25">
      <c r="A10" s="280"/>
      <c r="B10" s="280"/>
      <c r="C10" s="281"/>
      <c r="D10" s="281"/>
      <c r="E10" s="281"/>
      <c r="F10" s="281"/>
      <c r="G10" s="128"/>
      <c r="H10" s="125"/>
      <c r="I10" s="129"/>
      <c r="J10" s="127"/>
    </row>
    <row r="11" spans="1:10" x14ac:dyDescent="0.25">
      <c r="A11" s="283"/>
      <c r="B11" s="283"/>
      <c r="C11" s="284"/>
      <c r="D11" s="130"/>
      <c r="E11" s="130"/>
      <c r="F11" s="130"/>
      <c r="G11" s="131"/>
      <c r="H11" s="125"/>
      <c r="I11" s="132"/>
      <c r="J11" s="127"/>
    </row>
    <row r="12" spans="1:10" x14ac:dyDescent="0.25">
      <c r="A12" s="133"/>
      <c r="B12" s="133"/>
      <c r="C12" s="142" t="s">
        <v>235</v>
      </c>
      <c r="D12" s="130"/>
      <c r="E12" s="130"/>
      <c r="F12" s="217">
        <v>10800</v>
      </c>
      <c r="G12" s="140"/>
      <c r="H12" s="134"/>
      <c r="I12" s="132"/>
      <c r="J12" s="127"/>
    </row>
    <row r="13" spans="1:10" x14ac:dyDescent="0.25">
      <c r="A13" s="135"/>
      <c r="B13" s="135"/>
      <c r="C13" s="136"/>
      <c r="D13" s="125"/>
      <c r="E13" s="125"/>
      <c r="F13" s="125"/>
      <c r="G13" s="137"/>
      <c r="H13" s="125"/>
      <c r="I13" s="127"/>
      <c r="J13" s="127"/>
    </row>
    <row r="14" spans="1:10" x14ac:dyDescent="0.25">
      <c r="A14" s="125"/>
      <c r="B14" s="125"/>
      <c r="C14" s="136"/>
      <c r="D14" s="136"/>
      <c r="E14" s="136"/>
      <c r="F14" s="136"/>
      <c r="G14" s="141"/>
      <c r="H14" s="125"/>
      <c r="I14" s="127"/>
      <c r="J14" s="127"/>
    </row>
  </sheetData>
  <mergeCells count="4">
    <mergeCell ref="C8:H8"/>
    <mergeCell ref="A9:C9"/>
    <mergeCell ref="A10:F10"/>
    <mergeCell ref="A11:C11"/>
  </mergeCells>
  <printOptions horizontalCentered="1"/>
  <pageMargins left="0.92" right="0.92" top="1.6354166666666667" bottom="1" header="0.86" footer="0.5"/>
  <pageSetup paperSize="5" orientation="landscape" r:id="rId1"/>
  <headerFooter alignWithMargins="0">
    <oddHeader xml:space="preserve">&amp;C&amp;"Tahoma,Bold"&amp;16FY2025 Board Member Payroll Expenses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B623-389C-4479-BA81-5F549410B90C}">
  <dimension ref="C3:K17"/>
  <sheetViews>
    <sheetView workbookViewId="0">
      <selection activeCell="H17" sqref="H17"/>
    </sheetView>
  </sheetViews>
  <sheetFormatPr defaultRowHeight="15" x14ac:dyDescent="0.25"/>
  <cols>
    <col min="5" max="5" width="14.28515625" bestFit="1" customWidth="1"/>
    <col min="7" max="7" width="10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277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183</v>
      </c>
      <c r="D6" s="52"/>
      <c r="E6" s="52"/>
      <c r="F6" s="52"/>
      <c r="G6" s="175">
        <v>2600</v>
      </c>
      <c r="H6" s="52"/>
      <c r="I6" s="52"/>
      <c r="J6" s="52"/>
      <c r="K6" s="52"/>
    </row>
    <row r="7" spans="3:11" ht="18.75" x14ac:dyDescent="0.3">
      <c r="C7" s="52"/>
      <c r="D7" s="52"/>
      <c r="E7" s="52"/>
      <c r="F7" s="52"/>
      <c r="G7" s="175"/>
      <c r="H7" s="52"/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C9" s="157" t="s">
        <v>278</v>
      </c>
      <c r="D9" s="179"/>
      <c r="E9" s="179"/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52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52"/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72B13-8C09-4FD3-A3E4-F806F6D4E7E4}">
  <dimension ref="C3:K17"/>
  <sheetViews>
    <sheetView workbookViewId="0">
      <selection activeCell="E16" sqref="E16"/>
    </sheetView>
  </sheetViews>
  <sheetFormatPr defaultRowHeight="15" x14ac:dyDescent="0.25"/>
  <cols>
    <col min="5" max="5" width="14.28515625" bestFit="1" customWidth="1"/>
    <col min="7" max="7" width="11.4257812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279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280</v>
      </c>
      <c r="D6" s="52"/>
      <c r="E6" s="52"/>
      <c r="F6" s="52"/>
      <c r="G6" s="175">
        <v>11898</v>
      </c>
      <c r="H6" s="52"/>
      <c r="I6" s="52"/>
      <c r="J6" s="52"/>
      <c r="K6" s="52"/>
    </row>
    <row r="7" spans="3:11" ht="18.75" x14ac:dyDescent="0.3">
      <c r="C7" s="52" t="s">
        <v>185</v>
      </c>
      <c r="D7" s="52"/>
      <c r="E7" s="52"/>
      <c r="F7" s="52"/>
      <c r="G7" s="175">
        <v>1900</v>
      </c>
      <c r="H7" s="52"/>
      <c r="I7" s="52"/>
      <c r="J7" s="52"/>
      <c r="K7" s="113"/>
    </row>
    <row r="8" spans="3:11" ht="18.75" x14ac:dyDescent="0.3">
      <c r="C8" s="52" t="s">
        <v>186</v>
      </c>
      <c r="D8" s="52"/>
      <c r="E8" s="52"/>
      <c r="F8" s="52"/>
      <c r="G8" s="175">
        <v>1900</v>
      </c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>
        <f>SUM(G6:G9)</f>
        <v>15698</v>
      </c>
      <c r="H10" s="52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307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BE14-571C-4345-9FDC-F980F938A101}">
  <dimension ref="C3:K17"/>
  <sheetViews>
    <sheetView workbookViewId="0">
      <selection activeCell="E17" sqref="E17"/>
    </sheetView>
  </sheetViews>
  <sheetFormatPr defaultRowHeight="15" x14ac:dyDescent="0.25"/>
  <cols>
    <col min="5" max="5" width="14.28515625" bestFit="1" customWidth="1"/>
    <col min="7" max="8" width="11.4257812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283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/>
      <c r="D6" s="52" t="s">
        <v>284</v>
      </c>
      <c r="E6" s="52"/>
      <c r="F6" s="52"/>
      <c r="G6" s="175"/>
      <c r="H6" s="175">
        <v>1752</v>
      </c>
      <c r="I6" s="52"/>
      <c r="J6" s="52"/>
      <c r="K6" s="52"/>
    </row>
    <row r="7" spans="3:11" ht="18.75" x14ac:dyDescent="0.3">
      <c r="C7" s="52"/>
      <c r="D7" s="52" t="s">
        <v>187</v>
      </c>
      <c r="E7" s="52"/>
      <c r="F7" s="52"/>
      <c r="G7" s="175"/>
      <c r="H7" s="175">
        <v>1500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>
        <f>SUM(H6:H9)</f>
        <v>3252</v>
      </c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308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688F-D107-4BCB-98A8-03969B2B204B}">
  <dimension ref="C3:K17"/>
  <sheetViews>
    <sheetView workbookViewId="0">
      <selection activeCell="F17" sqref="F17"/>
    </sheetView>
  </sheetViews>
  <sheetFormatPr defaultRowHeight="15" x14ac:dyDescent="0.25"/>
  <cols>
    <col min="5" max="5" width="14.28515625" bestFit="1" customWidth="1"/>
    <col min="7" max="8" width="11.4257812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281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 t="s">
        <v>205</v>
      </c>
      <c r="E5" s="52"/>
      <c r="F5" s="52"/>
      <c r="G5" s="52"/>
      <c r="H5" s="175">
        <v>4000</v>
      </c>
      <c r="I5" s="52"/>
      <c r="J5" s="52"/>
      <c r="K5" s="52"/>
    </row>
    <row r="6" spans="3:11" ht="18.75" x14ac:dyDescent="0.3">
      <c r="C6" s="52"/>
      <c r="D6" s="52" t="s">
        <v>206</v>
      </c>
      <c r="E6" s="52"/>
      <c r="F6" s="52"/>
      <c r="G6" s="175"/>
      <c r="H6" s="175">
        <v>9000</v>
      </c>
      <c r="I6" s="52"/>
      <c r="J6" s="52"/>
      <c r="K6" s="52"/>
    </row>
    <row r="7" spans="3:11" ht="18.75" x14ac:dyDescent="0.3">
      <c r="C7" s="52"/>
      <c r="D7" s="52" t="s">
        <v>187</v>
      </c>
      <c r="E7" s="52"/>
      <c r="F7" s="52"/>
      <c r="G7" s="175"/>
      <c r="H7" s="175">
        <v>2000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>
        <f>SUM(H5:H9)</f>
        <v>15000</v>
      </c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282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BCA9-2B9A-422D-8BB0-6AE366F3854F}">
  <dimension ref="B3:K17"/>
  <sheetViews>
    <sheetView workbookViewId="0">
      <selection activeCell="G17" sqref="G17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2:11" ht="18.75" x14ac:dyDescent="0.3">
      <c r="C3" s="52"/>
      <c r="D3" s="52"/>
      <c r="E3" s="52"/>
      <c r="F3" s="112" t="s">
        <v>285</v>
      </c>
      <c r="G3" s="52"/>
      <c r="H3" s="52"/>
      <c r="I3" s="52"/>
      <c r="J3" s="52"/>
      <c r="K3" s="52"/>
    </row>
    <row r="4" spans="2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2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2:11" ht="18.75" x14ac:dyDescent="0.3">
      <c r="B6" s="52" t="s">
        <v>188</v>
      </c>
      <c r="C6" s="52"/>
      <c r="E6" s="52"/>
      <c r="F6" s="52"/>
      <c r="G6" s="175"/>
      <c r="H6" s="175">
        <v>100000</v>
      </c>
      <c r="I6" s="52"/>
      <c r="J6" s="52"/>
      <c r="K6" s="52"/>
    </row>
    <row r="7" spans="2:11" ht="18.75" x14ac:dyDescent="0.3">
      <c r="B7" s="52" t="s">
        <v>204</v>
      </c>
      <c r="C7" s="52"/>
      <c r="E7" s="52"/>
      <c r="F7" s="52"/>
      <c r="G7" s="175"/>
      <c r="H7" s="175">
        <v>1000</v>
      </c>
      <c r="I7" s="52"/>
      <c r="J7" s="52"/>
      <c r="K7" s="113"/>
    </row>
    <row r="8" spans="2:11" ht="18.75" x14ac:dyDescent="0.3">
      <c r="B8" s="52" t="s">
        <v>187</v>
      </c>
      <c r="C8" s="52"/>
      <c r="E8" s="52"/>
      <c r="F8" s="52"/>
      <c r="G8" s="175"/>
      <c r="H8" s="175">
        <v>34000</v>
      </c>
      <c r="I8" s="52"/>
      <c r="J8" s="52"/>
      <c r="K8" s="113"/>
    </row>
    <row r="9" spans="2:11" ht="18.75" x14ac:dyDescent="0.3">
      <c r="F9" s="52"/>
      <c r="G9" s="52"/>
      <c r="H9" s="52"/>
      <c r="I9" s="52"/>
      <c r="J9" s="52"/>
      <c r="K9" s="113"/>
    </row>
    <row r="10" spans="2:11" ht="18.75" x14ac:dyDescent="0.3">
      <c r="C10" s="52"/>
      <c r="D10" s="52"/>
      <c r="E10" s="52"/>
      <c r="F10" s="52"/>
      <c r="G10" s="175"/>
      <c r="H10" s="175">
        <f>SUM(H6:H9)</f>
        <v>135000</v>
      </c>
      <c r="I10" s="52"/>
      <c r="J10" s="52"/>
      <c r="K10" s="52"/>
    </row>
    <row r="11" spans="2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2:11" ht="18.75" x14ac:dyDescent="0.3">
      <c r="C12" s="112" t="s">
        <v>286</v>
      </c>
      <c r="D12" s="52"/>
      <c r="E12" s="52"/>
      <c r="F12" s="52"/>
      <c r="G12" s="175"/>
      <c r="H12" s="52"/>
      <c r="I12" s="52"/>
      <c r="J12" s="52"/>
      <c r="K12" s="52"/>
    </row>
    <row r="13" spans="2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B255-D867-4DD5-9398-B5715B55DE73}">
  <dimension ref="C3:K17"/>
  <sheetViews>
    <sheetView workbookViewId="0">
      <selection activeCell="E20" sqref="E19:E20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288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/>
      <c r="D6" s="52" t="s">
        <v>287</v>
      </c>
      <c r="E6" s="52"/>
      <c r="F6" s="52"/>
      <c r="G6" s="175"/>
      <c r="H6" s="175">
        <v>52309</v>
      </c>
      <c r="I6" s="52"/>
      <c r="J6" s="52" t="s">
        <v>309</v>
      </c>
      <c r="K6" s="52"/>
    </row>
    <row r="7" spans="3:11" ht="18.75" x14ac:dyDescent="0.3">
      <c r="C7" s="52"/>
      <c r="D7" s="52" t="s">
        <v>187</v>
      </c>
      <c r="E7" s="52"/>
      <c r="F7" s="52"/>
      <c r="G7" s="175"/>
      <c r="H7" s="175">
        <v>0</v>
      </c>
      <c r="I7" s="52"/>
      <c r="J7" s="52" t="s">
        <v>310</v>
      </c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>
        <f>SUM(H6:H9)</f>
        <v>52309</v>
      </c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311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A029-BBD1-4259-A8BC-461BEC433593}">
  <dimension ref="C3:K17"/>
  <sheetViews>
    <sheetView workbookViewId="0">
      <selection activeCell="E15" sqref="E15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289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/>
      <c r="D6" s="52" t="s">
        <v>287</v>
      </c>
      <c r="E6" s="52"/>
      <c r="F6" s="52"/>
      <c r="G6" s="175"/>
      <c r="H6" s="175">
        <v>26018</v>
      </c>
      <c r="I6" s="52"/>
      <c r="J6" s="52"/>
      <c r="K6" s="52"/>
    </row>
    <row r="7" spans="3:11" ht="18.75" x14ac:dyDescent="0.3">
      <c r="C7" s="52"/>
      <c r="D7" s="52" t="s">
        <v>187</v>
      </c>
      <c r="E7" s="52"/>
      <c r="F7" s="52"/>
      <c r="G7" s="175"/>
      <c r="H7" s="175">
        <v>50000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>
        <f>SUM(H6:H9)</f>
        <v>76018</v>
      </c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312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6BF6-7B32-4FBC-B65B-CC61A4E18DFC}">
  <dimension ref="C3:K20"/>
  <sheetViews>
    <sheetView workbookViewId="0">
      <selection activeCell="H24" sqref="H24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291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/>
      <c r="D6" s="52" t="s">
        <v>189</v>
      </c>
      <c r="E6" s="52"/>
      <c r="F6" s="52"/>
      <c r="G6" s="175"/>
      <c r="H6" s="175">
        <v>2000</v>
      </c>
      <c r="I6" s="52"/>
      <c r="J6" s="52"/>
      <c r="K6" s="52"/>
    </row>
    <row r="7" spans="3:11" ht="18.75" x14ac:dyDescent="0.3">
      <c r="C7" s="52"/>
      <c r="D7" s="52"/>
      <c r="E7" s="52"/>
      <c r="F7" s="52"/>
      <c r="G7" s="175"/>
      <c r="H7" s="175"/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52"/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290</v>
      </c>
      <c r="D12" s="52"/>
      <c r="E12" s="232">
        <v>2000</v>
      </c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6" ht="18.75" x14ac:dyDescent="0.3">
      <c r="D17" s="112"/>
      <c r="E17" s="181"/>
    </row>
    <row r="20" spans="4:6" x14ac:dyDescent="0.25">
      <c r="F20" s="5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995E-C484-4E04-B0C2-4F8D29A53412}">
  <dimension ref="C3:K17"/>
  <sheetViews>
    <sheetView topLeftCell="A3" workbookViewId="0">
      <selection activeCell="E20" sqref="E20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294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287</v>
      </c>
      <c r="D6" s="52"/>
      <c r="E6" s="52"/>
      <c r="F6" s="52"/>
      <c r="G6" s="175"/>
      <c r="H6" s="175">
        <v>254</v>
      </c>
      <c r="I6" s="52"/>
      <c r="J6" s="52"/>
      <c r="K6" s="52"/>
    </row>
    <row r="7" spans="3:11" ht="18.75" x14ac:dyDescent="0.3">
      <c r="C7" s="52" t="s">
        <v>187</v>
      </c>
      <c r="D7" s="52"/>
      <c r="E7" s="52"/>
      <c r="F7" s="52"/>
      <c r="G7" s="175"/>
      <c r="H7" s="175">
        <v>1000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C9" s="52" t="s">
        <v>293</v>
      </c>
      <c r="D9" s="52"/>
      <c r="E9" s="52"/>
      <c r="F9" s="52"/>
      <c r="G9" s="52"/>
      <c r="H9" s="175">
        <v>5000</v>
      </c>
      <c r="I9" s="52"/>
      <c r="J9" s="52"/>
      <c r="K9" s="113"/>
    </row>
    <row r="10" spans="3:11" ht="18.75" x14ac:dyDescent="0.3">
      <c r="C10" s="52" t="s">
        <v>292</v>
      </c>
      <c r="D10" s="52"/>
      <c r="E10" s="52"/>
      <c r="F10" s="52"/>
      <c r="G10" s="175"/>
      <c r="H10" s="175">
        <v>2500</v>
      </c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175">
        <f>SUM(H6:H10)</f>
        <v>8754</v>
      </c>
      <c r="I13" s="52"/>
      <c r="J13" s="52"/>
      <c r="K13" s="52"/>
    </row>
    <row r="14" spans="3:11" ht="18.75" x14ac:dyDescent="0.3">
      <c r="E14" s="180"/>
      <c r="G14" s="175"/>
    </row>
    <row r="16" spans="3:11" ht="18.75" x14ac:dyDescent="0.3">
      <c r="C16" s="112" t="s">
        <v>313</v>
      </c>
      <c r="D16" s="52"/>
      <c r="E16" s="52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CA0D-F8D3-4C0F-A141-A6C4AE1C6690}">
  <dimension ref="C3:K17"/>
  <sheetViews>
    <sheetView workbookViewId="0">
      <selection activeCell="E16" sqref="E16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299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287</v>
      </c>
      <c r="D6" s="52"/>
      <c r="E6" s="52"/>
      <c r="F6" s="52"/>
      <c r="G6" s="175"/>
      <c r="H6" s="175">
        <v>432</v>
      </c>
      <c r="I6" s="52"/>
      <c r="J6" s="52"/>
      <c r="K6" s="52"/>
    </row>
    <row r="7" spans="3:11" ht="18.75" x14ac:dyDescent="0.3">
      <c r="C7" s="52"/>
      <c r="D7" s="52"/>
      <c r="E7" s="52"/>
      <c r="F7" s="52"/>
      <c r="G7" s="175"/>
      <c r="H7" s="175"/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175">
        <f>SUM(H6:H8)</f>
        <v>432</v>
      </c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374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534C-E3A0-4311-8E97-F5DA08968AF9}">
  <dimension ref="A2:K30"/>
  <sheetViews>
    <sheetView workbookViewId="0">
      <selection activeCell="D11" sqref="D11:I11"/>
    </sheetView>
  </sheetViews>
  <sheetFormatPr defaultRowHeight="15" x14ac:dyDescent="0.25"/>
  <sheetData>
    <row r="2" spans="1:11" ht="18.75" x14ac:dyDescent="0.25">
      <c r="A2" s="289" t="s">
        <v>236</v>
      </c>
      <c r="B2" s="290"/>
      <c r="C2" s="290"/>
      <c r="D2" s="290"/>
      <c r="E2" s="290"/>
      <c r="F2" s="290"/>
      <c r="G2" s="290"/>
      <c r="H2" s="290"/>
      <c r="I2" s="290"/>
    </row>
    <row r="4" spans="1:11" ht="18.75" x14ac:dyDescent="0.3">
      <c r="A4" s="52"/>
      <c r="B4" s="52"/>
      <c r="C4" s="52"/>
      <c r="D4" s="52"/>
      <c r="E4" s="52"/>
      <c r="F4" s="52"/>
      <c r="G4" s="52"/>
      <c r="H4" s="52"/>
      <c r="I4" s="52"/>
    </row>
    <row r="5" spans="1:11" ht="18.75" x14ac:dyDescent="0.3">
      <c r="A5" s="287" t="s">
        <v>52</v>
      </c>
      <c r="B5" s="288"/>
      <c r="C5" s="288"/>
      <c r="D5" s="288"/>
      <c r="E5" s="287" t="s">
        <v>152</v>
      </c>
      <c r="F5" s="288"/>
      <c r="G5" s="288"/>
      <c r="H5" s="288"/>
      <c r="I5" s="288"/>
    </row>
    <row r="6" spans="1:11" ht="18.75" x14ac:dyDescent="0.3">
      <c r="A6" s="52"/>
      <c r="B6" s="52"/>
      <c r="C6" s="52"/>
      <c r="D6" s="52"/>
      <c r="E6" s="52"/>
      <c r="F6" s="52"/>
      <c r="G6" s="52"/>
      <c r="H6" s="52"/>
      <c r="I6" s="52"/>
    </row>
    <row r="7" spans="1:11" ht="18.75" x14ac:dyDescent="0.3">
      <c r="A7" s="52"/>
      <c r="B7" s="52"/>
      <c r="C7" s="52"/>
      <c r="D7" s="287" t="s">
        <v>153</v>
      </c>
      <c r="E7" s="288"/>
      <c r="F7" s="288"/>
      <c r="G7" s="288"/>
      <c r="H7" s="288"/>
      <c r="I7" s="288"/>
    </row>
    <row r="8" spans="1:11" ht="18.75" x14ac:dyDescent="0.3">
      <c r="A8" s="52"/>
      <c r="B8" s="52"/>
      <c r="C8" s="52"/>
      <c r="D8" s="52"/>
      <c r="E8" s="52"/>
      <c r="F8" s="52"/>
      <c r="G8" s="52"/>
      <c r="H8" s="52"/>
      <c r="I8" s="52"/>
    </row>
    <row r="9" spans="1:11" ht="18.75" x14ac:dyDescent="0.3">
      <c r="A9" s="52"/>
      <c r="B9" s="52"/>
      <c r="C9" s="52"/>
      <c r="D9" s="287" t="s">
        <v>160</v>
      </c>
      <c r="E9" s="288"/>
      <c r="F9" s="288"/>
      <c r="G9" s="288"/>
      <c r="H9" s="288"/>
      <c r="I9" s="288"/>
      <c r="J9" s="288"/>
      <c r="K9" s="288"/>
    </row>
    <row r="10" spans="1:11" ht="18.75" x14ac:dyDescent="0.3">
      <c r="A10" s="52"/>
      <c r="B10" s="52"/>
      <c r="C10" s="52"/>
      <c r="D10" s="52"/>
      <c r="E10" s="52"/>
      <c r="F10" s="52"/>
      <c r="G10" s="52"/>
      <c r="H10" s="52"/>
      <c r="I10" s="52"/>
    </row>
    <row r="11" spans="1:11" ht="18.75" x14ac:dyDescent="0.3">
      <c r="A11" s="52"/>
      <c r="B11" s="52"/>
      <c r="C11" s="52"/>
      <c r="D11" s="287" t="s">
        <v>161</v>
      </c>
      <c r="E11" s="288"/>
      <c r="F11" s="288"/>
      <c r="G11" s="288"/>
      <c r="H11" s="288"/>
      <c r="I11" s="288"/>
    </row>
    <row r="13" spans="1:11" ht="18.75" x14ac:dyDescent="0.3">
      <c r="A13" s="287"/>
      <c r="B13" s="288"/>
      <c r="C13" s="288"/>
      <c r="D13" s="288"/>
      <c r="E13" s="288"/>
      <c r="F13" s="288"/>
      <c r="G13" s="288"/>
      <c r="H13" s="288"/>
      <c r="I13" s="288"/>
    </row>
    <row r="15" spans="1:11" ht="18.75" x14ac:dyDescent="0.3">
      <c r="A15" s="287"/>
      <c r="B15" s="288"/>
      <c r="C15" s="288"/>
      <c r="D15" s="288"/>
      <c r="E15" s="288"/>
      <c r="F15" s="288"/>
      <c r="G15" s="288"/>
      <c r="H15" s="288"/>
      <c r="I15" s="288"/>
    </row>
    <row r="16" spans="1:11" ht="18.75" x14ac:dyDescent="0.3">
      <c r="A16" s="52"/>
      <c r="B16" s="52"/>
      <c r="C16" s="52"/>
      <c r="D16" s="52"/>
      <c r="E16" s="52"/>
      <c r="F16" s="52"/>
      <c r="G16" s="52"/>
      <c r="H16" s="52"/>
      <c r="I16" s="52"/>
    </row>
    <row r="17" spans="1:10" ht="18.75" x14ac:dyDescent="0.3">
      <c r="A17" s="52"/>
      <c r="B17" s="52"/>
      <c r="C17" s="52"/>
      <c r="D17" s="287"/>
      <c r="E17" s="288"/>
      <c r="F17" s="288"/>
      <c r="G17" s="288"/>
      <c r="H17" s="288"/>
      <c r="I17" s="288"/>
    </row>
    <row r="18" spans="1:10" ht="18.75" x14ac:dyDescent="0.3">
      <c r="A18" s="52"/>
      <c r="B18" s="52"/>
      <c r="C18" s="52"/>
      <c r="D18" s="52"/>
      <c r="E18" s="52"/>
      <c r="F18" s="52"/>
      <c r="G18" s="52"/>
      <c r="H18" s="52"/>
      <c r="I18" s="52"/>
    </row>
    <row r="19" spans="1:10" ht="18.75" x14ac:dyDescent="0.3">
      <c r="A19" s="285" t="s">
        <v>234</v>
      </c>
      <c r="B19" s="286"/>
      <c r="C19" s="286"/>
      <c r="D19" s="286"/>
      <c r="E19" s="286"/>
      <c r="F19" s="286"/>
      <c r="G19" s="286"/>
      <c r="H19" s="286"/>
      <c r="I19" s="286"/>
    </row>
    <row r="20" spans="1:10" ht="18.75" x14ac:dyDescent="0.3">
      <c r="A20" s="52"/>
      <c r="B20" s="52"/>
      <c r="C20" s="52"/>
      <c r="D20" s="52"/>
      <c r="E20" s="52"/>
      <c r="F20" s="52"/>
      <c r="G20" s="52"/>
      <c r="H20" s="52"/>
      <c r="I20" s="52"/>
    </row>
    <row r="21" spans="1:10" ht="18.75" x14ac:dyDescent="0.3">
      <c r="A21" s="52"/>
      <c r="B21" s="52"/>
      <c r="C21" s="52"/>
      <c r="D21" s="52"/>
      <c r="E21" s="52"/>
      <c r="F21" s="52"/>
      <c r="G21" s="52"/>
      <c r="H21" s="52"/>
      <c r="I21" s="52"/>
    </row>
    <row r="22" spans="1:10" ht="18.75" x14ac:dyDescent="0.3">
      <c r="A22" s="52"/>
      <c r="B22" s="52"/>
      <c r="C22" s="52"/>
      <c r="D22" s="52"/>
      <c r="E22" s="52"/>
      <c r="F22" s="52"/>
      <c r="G22" s="52"/>
      <c r="H22" s="52"/>
      <c r="I22" s="52"/>
    </row>
    <row r="23" spans="1:10" ht="18.75" x14ac:dyDescent="0.3">
      <c r="A23" s="52"/>
      <c r="B23" s="52"/>
      <c r="C23" s="52"/>
      <c r="D23" s="52"/>
      <c r="E23" s="52"/>
      <c r="F23" s="52"/>
      <c r="G23" s="52"/>
      <c r="H23" s="52"/>
      <c r="I23" s="52"/>
    </row>
    <row r="24" spans="1:10" ht="18.75" x14ac:dyDescent="0.3">
      <c r="A24" s="52"/>
      <c r="B24" s="52"/>
      <c r="C24" s="52"/>
      <c r="D24" s="52"/>
      <c r="E24" s="52"/>
      <c r="F24" s="52"/>
      <c r="G24" s="52"/>
      <c r="H24" s="52"/>
      <c r="I24" s="52"/>
    </row>
    <row r="25" spans="1:10" ht="18.75" x14ac:dyDescent="0.3">
      <c r="A25" s="52"/>
      <c r="B25" s="52"/>
      <c r="C25" s="52"/>
      <c r="D25" s="52"/>
      <c r="E25" s="52"/>
      <c r="F25" s="52"/>
      <c r="G25" s="52"/>
      <c r="H25" s="52"/>
      <c r="I25" s="52"/>
    </row>
    <row r="26" spans="1:10" ht="18.75" x14ac:dyDescent="0.3">
      <c r="A26" s="52"/>
      <c r="B26" s="52"/>
      <c r="C26" s="52"/>
      <c r="D26" s="52"/>
      <c r="E26" s="52"/>
      <c r="F26" s="52"/>
      <c r="G26" s="52"/>
      <c r="H26" s="52"/>
      <c r="I26" s="52"/>
    </row>
    <row r="27" spans="1:10" ht="18.75" x14ac:dyDescent="0.3">
      <c r="A27" s="52"/>
      <c r="B27" s="52"/>
      <c r="C27" s="52"/>
      <c r="D27" s="52"/>
      <c r="E27" s="52"/>
      <c r="F27" s="52"/>
      <c r="G27" s="52"/>
      <c r="H27" s="52"/>
      <c r="I27" s="52"/>
    </row>
    <row r="28" spans="1:10" ht="18.75" x14ac:dyDescent="0.3">
      <c r="A28" s="52"/>
      <c r="B28" s="52"/>
      <c r="C28" s="52"/>
      <c r="D28" s="52"/>
      <c r="E28" s="52"/>
      <c r="F28" s="52"/>
      <c r="G28" s="52"/>
      <c r="H28" s="52"/>
      <c r="I28" s="52"/>
    </row>
    <row r="29" spans="1:10" ht="18.75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3"/>
    </row>
    <row r="30" spans="1:10" ht="18.75" x14ac:dyDescent="0.3">
      <c r="A30" s="52"/>
      <c r="B30" s="52"/>
      <c r="C30" s="52"/>
      <c r="D30" s="52"/>
      <c r="E30" s="52"/>
      <c r="F30" s="52"/>
      <c r="G30" s="52"/>
      <c r="H30" s="52"/>
      <c r="I30" s="52"/>
    </row>
  </sheetData>
  <mergeCells count="10">
    <mergeCell ref="A2:I2"/>
    <mergeCell ref="A5:D5"/>
    <mergeCell ref="E5:I5"/>
    <mergeCell ref="D7:I7"/>
    <mergeCell ref="D9:K9"/>
    <mergeCell ref="A19:I19"/>
    <mergeCell ref="A13:I13"/>
    <mergeCell ref="A15:I15"/>
    <mergeCell ref="D11:I11"/>
    <mergeCell ref="D17:I17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570C-FAF2-4138-A500-B9E666A991C9}">
  <dimension ref="C3:K17"/>
  <sheetViews>
    <sheetView workbookViewId="0">
      <selection activeCell="G15" sqref="G15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300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287</v>
      </c>
      <c r="D6" s="52"/>
      <c r="E6" s="52"/>
      <c r="F6" s="52"/>
      <c r="G6" s="175"/>
      <c r="H6" s="175">
        <v>114</v>
      </c>
      <c r="I6" s="52"/>
      <c r="J6" s="52"/>
      <c r="K6" s="52"/>
    </row>
    <row r="7" spans="3:11" ht="18.75" x14ac:dyDescent="0.3">
      <c r="C7" s="52" t="s">
        <v>187</v>
      </c>
      <c r="D7" s="52"/>
      <c r="E7" s="52"/>
      <c r="F7" s="52"/>
      <c r="G7" s="175"/>
      <c r="H7" s="175">
        <v>150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175">
        <f>SUM(H6:H8)</f>
        <v>264</v>
      </c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314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4544-C313-4BF0-95CB-6952AA7D2A4C}">
  <dimension ref="C3:K17"/>
  <sheetViews>
    <sheetView workbookViewId="0">
      <selection activeCell="E16" sqref="E16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301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287</v>
      </c>
      <c r="D6" s="52"/>
      <c r="E6" s="52"/>
      <c r="F6" s="52"/>
      <c r="G6" s="175"/>
      <c r="H6" s="175">
        <v>6243</v>
      </c>
      <c r="I6" s="52"/>
      <c r="J6" s="52"/>
      <c r="K6" s="52"/>
    </row>
    <row r="7" spans="3:11" ht="18.75" x14ac:dyDescent="0.3">
      <c r="C7" s="52" t="s">
        <v>187</v>
      </c>
      <c r="D7" s="52"/>
      <c r="E7" s="52"/>
      <c r="F7" s="52"/>
      <c r="G7" s="175"/>
      <c r="H7" s="175">
        <v>500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175">
        <f>SUM(H6:H8)</f>
        <v>6743</v>
      </c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315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E94A-C7C8-4449-8134-E3DE6DC1DB46}">
  <dimension ref="C3:K17"/>
  <sheetViews>
    <sheetView workbookViewId="0">
      <selection activeCell="E23" sqref="E23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3:11" ht="18.75" x14ac:dyDescent="0.3">
      <c r="C3" s="52"/>
      <c r="D3" s="52"/>
      <c r="E3" s="52"/>
      <c r="F3" s="112" t="s">
        <v>190</v>
      </c>
      <c r="G3" s="52"/>
      <c r="H3" s="52"/>
      <c r="I3" s="52"/>
      <c r="J3" s="52"/>
      <c r="K3" s="52"/>
    </row>
    <row r="4" spans="3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3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3:11" ht="18.75" x14ac:dyDescent="0.3">
      <c r="C6" s="52" t="s">
        <v>287</v>
      </c>
      <c r="D6" s="52"/>
      <c r="E6" s="52"/>
      <c r="F6" s="52"/>
      <c r="G6" s="175"/>
      <c r="H6" s="175">
        <v>15912</v>
      </c>
      <c r="I6" s="52"/>
      <c r="J6" s="52"/>
      <c r="K6" s="52"/>
    </row>
    <row r="7" spans="3:11" ht="18.75" x14ac:dyDescent="0.3">
      <c r="C7" s="52" t="s">
        <v>187</v>
      </c>
      <c r="D7" s="52"/>
      <c r="E7" s="52"/>
      <c r="F7" s="52"/>
      <c r="G7" s="175"/>
      <c r="H7" s="175">
        <v>4500</v>
      </c>
      <c r="I7" s="52"/>
      <c r="J7" s="52"/>
      <c r="K7" s="113"/>
    </row>
    <row r="8" spans="3:11" ht="18.75" x14ac:dyDescent="0.3">
      <c r="C8" s="52"/>
      <c r="D8" s="52"/>
      <c r="E8" s="52"/>
      <c r="F8" s="52"/>
      <c r="G8" s="175"/>
      <c r="H8" s="52"/>
      <c r="I8" s="52"/>
      <c r="J8" s="52"/>
      <c r="K8" s="113"/>
    </row>
    <row r="9" spans="3:11" ht="18.75" x14ac:dyDescent="0.3">
      <c r="F9" s="52"/>
      <c r="G9" s="52"/>
      <c r="H9" s="175">
        <f>SUM(H6:H7)</f>
        <v>20412</v>
      </c>
      <c r="I9" s="52"/>
      <c r="J9" s="52"/>
      <c r="K9" s="113"/>
    </row>
    <row r="10" spans="3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3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3:11" ht="18.75" x14ac:dyDescent="0.3">
      <c r="C12" s="112" t="s">
        <v>316</v>
      </c>
      <c r="D12" s="52"/>
      <c r="E12" s="52"/>
      <c r="F12" s="52"/>
      <c r="G12" s="175"/>
      <c r="H12" s="52"/>
      <c r="I12" s="52"/>
      <c r="J12" s="52"/>
      <c r="K12" s="52"/>
    </row>
    <row r="13" spans="3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3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3EF5-449B-44C9-A2F4-265D328F391C}">
  <dimension ref="A3:K17"/>
  <sheetViews>
    <sheetView workbookViewId="0">
      <selection activeCell="E18" sqref="E18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1:11" ht="18.75" x14ac:dyDescent="0.3">
      <c r="C3" s="52"/>
      <c r="D3" s="52"/>
      <c r="E3" s="52"/>
      <c r="F3" s="112" t="s">
        <v>302</v>
      </c>
      <c r="G3" s="52"/>
      <c r="H3" s="52"/>
      <c r="I3" s="52"/>
      <c r="J3" s="52"/>
      <c r="K3" s="52"/>
    </row>
    <row r="4" spans="1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1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1:11" ht="18.75" x14ac:dyDescent="0.3">
      <c r="A6" s="180"/>
      <c r="C6" s="52" t="s">
        <v>287</v>
      </c>
      <c r="D6" s="52"/>
      <c r="E6" s="52"/>
      <c r="F6" s="52"/>
      <c r="G6" s="175"/>
      <c r="H6" s="175">
        <v>32037</v>
      </c>
      <c r="I6" s="52"/>
      <c r="J6" s="52"/>
      <c r="K6" s="52"/>
    </row>
    <row r="7" spans="1:11" ht="18.75" x14ac:dyDescent="0.3">
      <c r="A7" s="52"/>
      <c r="C7" s="52" t="s">
        <v>191</v>
      </c>
      <c r="D7" s="52"/>
      <c r="E7" s="52"/>
      <c r="F7" s="52"/>
      <c r="G7" s="175"/>
      <c r="H7" s="178">
        <v>2900</v>
      </c>
      <c r="I7" s="52"/>
      <c r="J7" s="52"/>
      <c r="K7" s="113"/>
    </row>
    <row r="8" spans="1:11" ht="18.75" x14ac:dyDescent="0.3">
      <c r="I8" s="52"/>
      <c r="J8" s="52"/>
      <c r="K8" s="113"/>
    </row>
    <row r="9" spans="1:11" ht="18.75" x14ac:dyDescent="0.3">
      <c r="F9" s="52"/>
      <c r="G9" s="52"/>
      <c r="H9" s="175">
        <f>SUM(H6:H7)</f>
        <v>34937</v>
      </c>
      <c r="I9" s="52"/>
      <c r="J9" s="52"/>
      <c r="K9" s="113"/>
    </row>
    <row r="10" spans="1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1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18.75" x14ac:dyDescent="0.3">
      <c r="C12" s="112" t="s">
        <v>317</v>
      </c>
      <c r="D12" s="52"/>
      <c r="E12" s="52"/>
      <c r="F12" s="52"/>
      <c r="G12" s="175"/>
      <c r="H12" s="52"/>
      <c r="I12" s="52"/>
      <c r="J12" s="52"/>
      <c r="K12" s="52"/>
    </row>
    <row r="13" spans="1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4729-999F-4FB0-8E43-3D01BBE96742}">
  <dimension ref="A3:K17"/>
  <sheetViews>
    <sheetView workbookViewId="0">
      <selection activeCell="E18" sqref="E18"/>
    </sheetView>
  </sheetViews>
  <sheetFormatPr defaultRowHeight="15" x14ac:dyDescent="0.25"/>
  <cols>
    <col min="5" max="5" width="14.28515625" bestFit="1" customWidth="1"/>
    <col min="7" max="7" width="11.42578125" bestFit="1" customWidth="1"/>
    <col min="8" max="8" width="12.85546875" bestFit="1" customWidth="1"/>
    <col min="10" max="10" width="17" customWidth="1"/>
    <col min="11" max="11" width="12.7109375" bestFit="1" customWidth="1"/>
  </cols>
  <sheetData>
    <row r="3" spans="1:11" ht="18.75" x14ac:dyDescent="0.3">
      <c r="C3" s="52"/>
      <c r="D3" s="52"/>
      <c r="E3" s="52"/>
      <c r="F3" s="112" t="s">
        <v>303</v>
      </c>
      <c r="G3" s="52"/>
      <c r="H3" s="52"/>
      <c r="I3" s="52"/>
      <c r="J3" s="52"/>
      <c r="K3" s="52"/>
    </row>
    <row r="4" spans="1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1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1:11" ht="18.75" x14ac:dyDescent="0.3">
      <c r="A6" s="180"/>
      <c r="C6" s="52" t="s">
        <v>287</v>
      </c>
      <c r="D6" s="52"/>
      <c r="E6" s="52"/>
      <c r="F6" s="52"/>
      <c r="G6" s="175"/>
      <c r="H6" s="175">
        <v>3993</v>
      </c>
      <c r="I6" s="52"/>
      <c r="J6" s="52"/>
      <c r="K6" s="52"/>
    </row>
    <row r="7" spans="1:11" ht="18.75" x14ac:dyDescent="0.3">
      <c r="C7" s="52" t="s">
        <v>191</v>
      </c>
      <c r="D7" s="52"/>
      <c r="E7" s="52"/>
      <c r="F7" s="52"/>
      <c r="G7" s="175"/>
      <c r="H7" s="178">
        <v>500</v>
      </c>
      <c r="I7" s="52"/>
      <c r="J7" s="52"/>
      <c r="K7" s="113"/>
    </row>
    <row r="8" spans="1:11" ht="18.75" x14ac:dyDescent="0.3">
      <c r="C8" s="52"/>
      <c r="D8" s="52"/>
      <c r="E8" s="52"/>
      <c r="F8" s="52"/>
      <c r="G8" s="175"/>
      <c r="H8" s="178"/>
      <c r="I8" s="52"/>
      <c r="J8" s="52"/>
      <c r="K8" s="113"/>
    </row>
    <row r="9" spans="1:11" ht="18.75" x14ac:dyDescent="0.3">
      <c r="F9" s="52"/>
      <c r="G9" s="52"/>
      <c r="H9" s="175">
        <f>SUM(H6:H7)</f>
        <v>4493</v>
      </c>
      <c r="I9" s="52"/>
      <c r="J9" s="52"/>
      <c r="K9" s="113"/>
    </row>
    <row r="10" spans="1:11" ht="18.75" x14ac:dyDescent="0.3">
      <c r="C10" s="52"/>
      <c r="D10" s="52"/>
      <c r="E10" s="52"/>
      <c r="F10" s="52"/>
      <c r="G10" s="175"/>
      <c r="H10" s="175"/>
      <c r="I10" s="52"/>
      <c r="J10" s="52"/>
      <c r="K10" s="52"/>
    </row>
    <row r="11" spans="1:11" ht="18.75" x14ac:dyDescent="0.3"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18.75" x14ac:dyDescent="0.3">
      <c r="C12" s="112" t="s">
        <v>318</v>
      </c>
      <c r="D12" s="52"/>
      <c r="E12" s="52"/>
      <c r="F12" s="52"/>
      <c r="G12" s="175"/>
      <c r="H12" s="52"/>
      <c r="I12" s="52"/>
      <c r="J12" s="52"/>
      <c r="K12" s="52"/>
    </row>
    <row r="13" spans="1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8.75" x14ac:dyDescent="0.3"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A37F-601F-47D5-991E-4B6E9F1E1864}">
  <dimension ref="A3:K17"/>
  <sheetViews>
    <sheetView workbookViewId="0">
      <selection activeCell="E19" sqref="E19"/>
    </sheetView>
  </sheetViews>
  <sheetFormatPr defaultRowHeight="15" x14ac:dyDescent="0.25"/>
  <cols>
    <col min="5" max="5" width="14.28515625" bestFit="1" customWidth="1"/>
    <col min="7" max="7" width="13.42578125" customWidth="1"/>
    <col min="8" max="8" width="12.85546875" bestFit="1" customWidth="1"/>
    <col min="10" max="10" width="17" customWidth="1"/>
    <col min="11" max="11" width="12.7109375" bestFit="1" customWidth="1"/>
  </cols>
  <sheetData>
    <row r="3" spans="1:11" ht="18.75" x14ac:dyDescent="0.3">
      <c r="C3" s="52"/>
      <c r="D3" s="52"/>
      <c r="E3" s="52"/>
      <c r="F3" s="112" t="s">
        <v>304</v>
      </c>
      <c r="G3" s="52"/>
      <c r="H3" s="52"/>
      <c r="I3" s="52"/>
      <c r="J3" s="52"/>
      <c r="K3" s="52"/>
    </row>
    <row r="4" spans="1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1:11" ht="18.75" x14ac:dyDescent="0.3">
      <c r="C5" s="52" t="s">
        <v>287</v>
      </c>
      <c r="D5" s="52"/>
      <c r="E5" s="52"/>
      <c r="F5" s="52"/>
      <c r="G5" s="52"/>
      <c r="H5" s="178">
        <v>8946</v>
      </c>
      <c r="I5" s="52"/>
      <c r="J5" s="52" t="s">
        <v>319</v>
      </c>
      <c r="K5" s="52"/>
    </row>
    <row r="6" spans="1:11" ht="18.75" x14ac:dyDescent="0.3">
      <c r="C6" s="52"/>
      <c r="D6" s="52"/>
      <c r="E6" s="52"/>
      <c r="F6" s="52"/>
      <c r="G6" s="52"/>
      <c r="H6" s="52"/>
      <c r="I6" s="52"/>
      <c r="J6" s="52"/>
      <c r="K6" s="52"/>
    </row>
    <row r="7" spans="1:11" ht="18.75" x14ac:dyDescent="0.3">
      <c r="A7" s="180"/>
      <c r="C7" s="52" t="s">
        <v>221</v>
      </c>
      <c r="D7" s="52"/>
      <c r="E7" s="52"/>
      <c r="F7" s="52"/>
      <c r="G7" s="175"/>
      <c r="H7" s="175">
        <v>2600</v>
      </c>
      <c r="I7" s="52"/>
      <c r="J7" s="52"/>
      <c r="K7" s="52"/>
    </row>
    <row r="8" spans="1:11" ht="18.75" x14ac:dyDescent="0.3">
      <c r="C8" s="52" t="s">
        <v>193</v>
      </c>
      <c r="E8" s="52"/>
      <c r="F8" s="52"/>
      <c r="G8" s="175"/>
      <c r="H8" s="178">
        <v>500</v>
      </c>
      <c r="I8" s="52"/>
      <c r="J8" s="52"/>
      <c r="K8" s="113"/>
    </row>
    <row r="9" spans="1:11" ht="18.75" x14ac:dyDescent="0.3">
      <c r="C9" s="52" t="s">
        <v>192</v>
      </c>
      <c r="D9" s="52"/>
      <c r="E9" s="52"/>
      <c r="F9" s="52"/>
      <c r="G9" s="52"/>
      <c r="H9" s="175">
        <v>1200</v>
      </c>
      <c r="I9" s="52"/>
      <c r="J9" s="52"/>
      <c r="K9" s="113"/>
    </row>
    <row r="10" spans="1:11" ht="18.75" x14ac:dyDescent="0.3">
      <c r="C10" s="52" t="s">
        <v>194</v>
      </c>
      <c r="D10" s="52"/>
      <c r="E10" s="52"/>
      <c r="F10" s="52"/>
      <c r="G10" s="175"/>
      <c r="H10" s="175">
        <v>1700</v>
      </c>
      <c r="I10" s="52"/>
      <c r="J10" s="52"/>
      <c r="K10" s="52"/>
    </row>
    <row r="11" spans="1:11" ht="18.75" x14ac:dyDescent="0.3">
      <c r="C11" s="52"/>
      <c r="D11" s="52"/>
      <c r="E11" s="52"/>
      <c r="F11" s="52"/>
      <c r="G11" s="52"/>
      <c r="H11" s="175"/>
      <c r="I11" s="52"/>
      <c r="J11" s="52"/>
      <c r="K11" s="52"/>
    </row>
    <row r="12" spans="1:11" ht="18.75" x14ac:dyDescent="0.3">
      <c r="D12" s="52"/>
      <c r="E12" s="52"/>
      <c r="F12" s="52"/>
      <c r="G12" s="175"/>
      <c r="H12" s="175">
        <f>SUM(H7:H11)</f>
        <v>6000</v>
      </c>
      <c r="I12" s="52"/>
      <c r="J12" s="52"/>
      <c r="K12" s="52"/>
    </row>
    <row r="13" spans="1:11" ht="18.75" x14ac:dyDescent="0.3"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8.75" x14ac:dyDescent="0.3">
      <c r="C14" s="112" t="s">
        <v>305</v>
      </c>
      <c r="E14" s="180"/>
      <c r="G14" s="175"/>
    </row>
    <row r="17" spans="4:5" ht="18.75" x14ac:dyDescent="0.3">
      <c r="D17" s="112"/>
      <c r="E17" s="18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551B-1A52-47CB-88FD-7E0B398077A5}">
  <dimension ref="A3:K16"/>
  <sheetViews>
    <sheetView workbookViewId="0">
      <selection activeCell="F29" sqref="F29"/>
    </sheetView>
  </sheetViews>
  <sheetFormatPr defaultRowHeight="15" x14ac:dyDescent="0.25"/>
  <cols>
    <col min="5" max="5" width="14.28515625" bestFit="1" customWidth="1"/>
    <col min="7" max="7" width="13.42578125" customWidth="1"/>
    <col min="8" max="8" width="12.85546875" bestFit="1" customWidth="1"/>
    <col min="10" max="10" width="17" customWidth="1"/>
    <col min="11" max="11" width="12.7109375" bestFit="1" customWidth="1"/>
  </cols>
  <sheetData>
    <row r="3" spans="1:11" ht="18.75" x14ac:dyDescent="0.3">
      <c r="C3" s="52"/>
      <c r="D3" s="52"/>
      <c r="E3" s="52"/>
      <c r="F3" s="112" t="s">
        <v>306</v>
      </c>
      <c r="G3" s="52"/>
      <c r="H3" s="52"/>
      <c r="I3" s="52"/>
      <c r="J3" s="52"/>
      <c r="K3" s="52"/>
    </row>
    <row r="4" spans="1:11" ht="18.75" x14ac:dyDescent="0.3">
      <c r="C4" s="52"/>
      <c r="D4" s="52"/>
      <c r="E4" s="52"/>
      <c r="F4" s="52"/>
      <c r="G4" s="52"/>
      <c r="H4" s="52"/>
      <c r="I4" s="52"/>
      <c r="J4" s="52"/>
      <c r="K4" s="52"/>
    </row>
    <row r="5" spans="1:11" ht="18.75" x14ac:dyDescent="0.3">
      <c r="C5" s="52"/>
      <c r="D5" s="52"/>
      <c r="E5" s="52"/>
      <c r="F5" s="52"/>
      <c r="G5" s="52"/>
      <c r="H5" s="52"/>
      <c r="I5" s="52"/>
      <c r="J5" s="52"/>
      <c r="K5" s="52"/>
    </row>
    <row r="6" spans="1:11" ht="18.75" x14ac:dyDescent="0.3">
      <c r="A6" s="180"/>
      <c r="C6" s="52" t="s">
        <v>195</v>
      </c>
      <c r="D6" s="52"/>
      <c r="E6" s="52"/>
      <c r="F6" s="52"/>
      <c r="G6" s="175"/>
      <c r="H6" s="175">
        <v>500</v>
      </c>
      <c r="I6" s="52"/>
      <c r="J6" s="52"/>
      <c r="K6" s="52"/>
    </row>
    <row r="7" spans="1:11" ht="18.75" x14ac:dyDescent="0.3">
      <c r="C7" s="52" t="s">
        <v>196</v>
      </c>
      <c r="E7" s="52"/>
      <c r="F7" s="52"/>
      <c r="G7" s="175"/>
      <c r="H7" s="178">
        <v>2500</v>
      </c>
      <c r="I7" s="52"/>
      <c r="J7" s="52"/>
      <c r="K7" s="113"/>
    </row>
    <row r="8" spans="1:11" ht="18.75" x14ac:dyDescent="0.3">
      <c r="C8" s="52" t="s">
        <v>198</v>
      </c>
      <c r="D8" s="52"/>
      <c r="E8" s="52"/>
      <c r="F8" s="52"/>
      <c r="G8" s="52"/>
      <c r="H8" s="175">
        <v>300</v>
      </c>
      <c r="I8" s="52"/>
      <c r="J8" s="52"/>
      <c r="K8" s="113"/>
    </row>
    <row r="9" spans="1:11" ht="18.75" x14ac:dyDescent="0.3">
      <c r="C9" s="52" t="s">
        <v>368</v>
      </c>
      <c r="D9" s="52"/>
      <c r="E9" s="52"/>
      <c r="F9" s="52"/>
      <c r="G9" s="175"/>
      <c r="H9" s="175">
        <v>400</v>
      </c>
      <c r="I9" s="52"/>
      <c r="J9" s="52"/>
      <c r="K9" s="52"/>
    </row>
    <row r="10" spans="1:11" ht="18.75" x14ac:dyDescent="0.3">
      <c r="C10" s="52" t="s">
        <v>197</v>
      </c>
      <c r="D10" s="52"/>
      <c r="E10" s="52"/>
      <c r="F10" s="52"/>
      <c r="G10" s="52"/>
      <c r="H10" s="175">
        <v>100</v>
      </c>
      <c r="I10" s="52"/>
      <c r="J10" s="52"/>
      <c r="K10" s="52"/>
    </row>
    <row r="11" spans="1:11" ht="18.75" x14ac:dyDescent="0.3">
      <c r="D11" s="52"/>
      <c r="E11" s="52"/>
      <c r="F11" s="52"/>
      <c r="G11" s="175"/>
      <c r="H11" s="175"/>
      <c r="I11" s="52"/>
      <c r="J11" s="52"/>
      <c r="K11" s="52"/>
    </row>
    <row r="12" spans="1:11" ht="18.75" x14ac:dyDescent="0.3">
      <c r="C12" s="52"/>
      <c r="D12" s="52"/>
      <c r="E12" s="52"/>
      <c r="F12" s="52"/>
      <c r="G12" s="52"/>
      <c r="H12" s="175">
        <f>SUM(H6:H11)</f>
        <v>3800</v>
      </c>
      <c r="I12" s="52"/>
      <c r="J12" s="52"/>
      <c r="K12" s="52"/>
    </row>
    <row r="13" spans="1:11" ht="18.75" x14ac:dyDescent="0.3">
      <c r="C13" s="112" t="s">
        <v>397</v>
      </c>
      <c r="E13" s="180"/>
      <c r="G13" s="175"/>
    </row>
    <row r="16" spans="1:11" ht="18.75" x14ac:dyDescent="0.3">
      <c r="D16" s="112"/>
      <c r="E16" s="18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7755-08CA-4BA3-9BF0-0791997ED869}">
  <dimension ref="A1:U29"/>
  <sheetViews>
    <sheetView workbookViewId="0">
      <selection activeCell="F12" sqref="F12"/>
    </sheetView>
  </sheetViews>
  <sheetFormatPr defaultRowHeight="15" x14ac:dyDescent="0.25"/>
  <sheetData>
    <row r="1" spans="1:21" ht="18.75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8.75" x14ac:dyDescent="0.3">
      <c r="A2" s="52"/>
      <c r="B2" s="52"/>
      <c r="C2" s="52"/>
      <c r="D2" s="52"/>
      <c r="E2" s="52"/>
      <c r="F2" s="112" t="s">
        <v>329</v>
      </c>
      <c r="G2" s="112"/>
      <c r="H2" s="112"/>
      <c r="I2" s="11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8.75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18.75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ht="18.75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18.75" x14ac:dyDescent="0.3">
      <c r="A6" s="52"/>
      <c r="B6" s="52"/>
      <c r="C6" s="112" t="s">
        <v>330</v>
      </c>
      <c r="D6" s="112"/>
      <c r="E6" s="11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18.75" x14ac:dyDescent="0.3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8.75" x14ac:dyDescent="0.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ht="18.75" x14ac:dyDescent="0.3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ht="18.75" x14ac:dyDescent="0.3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8.75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ht="18.7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ht="18.75" x14ac:dyDescent="0.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ht="18.75" x14ac:dyDescent="0.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ht="18.75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18.7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18.75" x14ac:dyDescent="0.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ht="18.75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18.75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8.75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18.75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18.75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18.75" x14ac:dyDescent="0.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18.75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ht="18.75" x14ac:dyDescent="0.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18.75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ht="18.75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18.75" x14ac:dyDescent="0.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 ht="18.75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D8BE-6EE8-4836-B262-9B471BC64425}">
  <dimension ref="A1:AC69"/>
  <sheetViews>
    <sheetView topLeftCell="A10" workbookViewId="0">
      <selection activeCell="F37" sqref="F37"/>
    </sheetView>
  </sheetViews>
  <sheetFormatPr defaultRowHeight="15" x14ac:dyDescent="0.25"/>
  <cols>
    <col min="6" max="6" width="27.140625" customWidth="1"/>
    <col min="13" max="13" width="16.85546875" customWidth="1"/>
    <col min="15" max="15" width="22.5703125" customWidth="1"/>
    <col min="16" max="16" width="21.42578125" customWidth="1"/>
    <col min="17" max="17" width="18.7109375" customWidth="1"/>
  </cols>
  <sheetData>
    <row r="1" spans="1:29" ht="18.75" x14ac:dyDescent="0.3">
      <c r="A1" s="52"/>
      <c r="B1" s="52"/>
      <c r="C1" s="52"/>
      <c r="D1" s="52"/>
      <c r="E1" s="52"/>
      <c r="F1" s="112" t="s">
        <v>344</v>
      </c>
      <c r="G1" s="52"/>
      <c r="H1" s="52"/>
      <c r="I1" s="52"/>
      <c r="J1" s="52"/>
      <c r="K1" s="52"/>
      <c r="L1" s="52"/>
      <c r="M1" s="52"/>
      <c r="N1" s="52"/>
      <c r="O1" s="157" t="s">
        <v>345</v>
      </c>
      <c r="P1" s="248" t="s">
        <v>346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ht="18.75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79"/>
      <c r="P2" s="249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18.75" x14ac:dyDescent="0.3">
      <c r="A3" s="52"/>
      <c r="B3" s="251">
        <v>1</v>
      </c>
      <c r="C3" s="249" t="s">
        <v>356</v>
      </c>
      <c r="D3" s="249"/>
      <c r="E3" s="249"/>
      <c r="F3" s="249"/>
      <c r="G3" s="249"/>
      <c r="H3" s="249"/>
      <c r="I3" s="249"/>
      <c r="J3" s="249"/>
      <c r="K3" s="249"/>
      <c r="L3" s="249"/>
      <c r="M3" s="250">
        <v>450000</v>
      </c>
      <c r="N3" s="52"/>
      <c r="O3" s="247"/>
      <c r="P3" s="250">
        <v>450000</v>
      </c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8.75" x14ac:dyDescent="0.3">
      <c r="A4" s="52"/>
      <c r="B4" s="176"/>
      <c r="C4" s="52"/>
      <c r="D4" s="52"/>
      <c r="E4" s="52"/>
      <c r="F4" s="52"/>
      <c r="G4" s="52"/>
      <c r="H4" s="52"/>
      <c r="I4" s="52"/>
      <c r="J4" s="52"/>
      <c r="K4" s="52"/>
      <c r="L4" s="52"/>
      <c r="M4" s="178"/>
      <c r="N4" s="52"/>
      <c r="O4" s="247"/>
      <c r="P4" s="250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18.75" x14ac:dyDescent="0.3">
      <c r="A5" s="52"/>
      <c r="B5" s="244">
        <v>2</v>
      </c>
      <c r="C5" s="313" t="s">
        <v>357</v>
      </c>
      <c r="D5" s="313"/>
      <c r="E5" s="313"/>
      <c r="F5" s="313"/>
      <c r="G5" s="313"/>
      <c r="H5" s="313"/>
      <c r="I5" s="313"/>
      <c r="J5" s="179"/>
      <c r="K5" s="179"/>
      <c r="L5" s="179"/>
      <c r="M5" s="247">
        <v>90000</v>
      </c>
      <c r="N5" s="52"/>
      <c r="O5" s="247">
        <v>89400</v>
      </c>
      <c r="P5" s="250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ht="18.75" x14ac:dyDescent="0.3">
      <c r="A6" s="52"/>
      <c r="B6" s="176"/>
      <c r="C6" s="52"/>
      <c r="J6" s="52"/>
      <c r="K6" s="52"/>
      <c r="L6" s="52"/>
      <c r="M6" s="178"/>
      <c r="N6" s="52"/>
      <c r="O6" s="247"/>
      <c r="P6" s="250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18.75" x14ac:dyDescent="0.3">
      <c r="A7" s="52"/>
      <c r="B7" s="251">
        <v>3</v>
      </c>
      <c r="C7" s="249" t="s">
        <v>358</v>
      </c>
      <c r="D7" s="194"/>
      <c r="E7" s="194"/>
      <c r="F7" s="194"/>
      <c r="G7" s="194"/>
      <c r="H7" s="194"/>
      <c r="I7" s="194"/>
      <c r="J7" s="249"/>
      <c r="K7" s="249"/>
      <c r="L7" s="249"/>
      <c r="M7" s="250">
        <v>15000</v>
      </c>
      <c r="N7" s="52"/>
      <c r="O7" s="247">
        <v>0</v>
      </c>
      <c r="P7" s="250">
        <v>0</v>
      </c>
      <c r="Q7" s="52" t="s">
        <v>377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ht="18.75" x14ac:dyDescent="0.3">
      <c r="A8" s="52"/>
      <c r="B8" s="176"/>
      <c r="C8" s="52"/>
      <c r="D8" s="52"/>
      <c r="E8" s="52"/>
      <c r="F8" s="52"/>
      <c r="G8" s="52"/>
      <c r="H8" s="52"/>
      <c r="I8" s="52"/>
      <c r="J8" s="52"/>
      <c r="K8" s="52"/>
      <c r="L8" s="52"/>
      <c r="M8" s="178"/>
      <c r="N8" s="52"/>
      <c r="O8" s="247"/>
      <c r="P8" s="250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8.75" x14ac:dyDescent="0.3">
      <c r="A9" s="52"/>
      <c r="B9" s="244">
        <v>4</v>
      </c>
      <c r="C9" s="179" t="s">
        <v>359</v>
      </c>
      <c r="D9" s="179"/>
      <c r="E9" s="179"/>
      <c r="F9" s="179"/>
      <c r="G9" s="179"/>
      <c r="H9" s="179"/>
      <c r="I9" s="179"/>
      <c r="J9" s="179"/>
      <c r="K9" s="179"/>
      <c r="L9" s="179"/>
      <c r="M9" s="247">
        <v>200000</v>
      </c>
      <c r="N9" s="52"/>
      <c r="O9" s="247">
        <v>177475</v>
      </c>
      <c r="P9" s="250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ht="18.75" x14ac:dyDescent="0.3">
      <c r="A10" s="52"/>
      <c r="B10" s="17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78"/>
      <c r="N10" s="52"/>
      <c r="O10" s="247"/>
      <c r="P10" s="250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ht="18.75" x14ac:dyDescent="0.3">
      <c r="A11" s="52"/>
      <c r="B11" s="251">
        <v>5</v>
      </c>
      <c r="C11" s="249" t="s">
        <v>381</v>
      </c>
      <c r="D11" s="194"/>
      <c r="E11" s="194"/>
      <c r="F11" s="194"/>
      <c r="G11" s="194"/>
      <c r="H11" s="194"/>
      <c r="I11" s="194"/>
      <c r="J11" s="249"/>
      <c r="K11" s="249"/>
      <c r="L11" s="249"/>
      <c r="M11" s="252">
        <v>79150</v>
      </c>
      <c r="N11" s="52"/>
      <c r="O11" s="247"/>
      <c r="P11" s="250">
        <v>79150</v>
      </c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ht="18.75" x14ac:dyDescent="0.3">
      <c r="A12" s="52"/>
      <c r="B12" s="176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178"/>
      <c r="N12" s="52"/>
      <c r="O12" s="247"/>
      <c r="P12" s="250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ht="18.75" x14ac:dyDescent="0.3">
      <c r="A13" s="52"/>
      <c r="B13" s="251">
        <v>6</v>
      </c>
      <c r="C13" s="249" t="s">
        <v>375</v>
      </c>
      <c r="D13" s="249"/>
      <c r="E13" s="249"/>
      <c r="F13" s="249"/>
      <c r="G13" s="249"/>
      <c r="H13" s="249"/>
      <c r="I13" s="249"/>
      <c r="J13" s="249"/>
      <c r="K13" s="249"/>
      <c r="L13" s="249"/>
      <c r="M13" s="275">
        <v>24200</v>
      </c>
      <c r="N13" s="52"/>
      <c r="O13" s="247"/>
      <c r="P13" s="275">
        <v>24200</v>
      </c>
      <c r="Q13" s="113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ht="18.75" x14ac:dyDescent="0.3">
      <c r="A14" s="52"/>
      <c r="B14" s="114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13"/>
      <c r="N14" s="52"/>
      <c r="O14" s="247"/>
      <c r="P14" s="250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.75" x14ac:dyDescent="0.3">
      <c r="A15" s="52"/>
      <c r="B15" s="251">
        <v>7</v>
      </c>
      <c r="C15" s="249" t="s">
        <v>387</v>
      </c>
      <c r="D15" s="249"/>
      <c r="E15" s="249"/>
      <c r="F15" s="249"/>
      <c r="G15" s="249"/>
      <c r="H15" s="249"/>
      <c r="I15" s="249"/>
      <c r="J15" s="249"/>
      <c r="K15" s="249"/>
      <c r="L15" s="249"/>
      <c r="M15" s="253">
        <v>165000</v>
      </c>
      <c r="N15" s="52"/>
      <c r="O15" s="247"/>
      <c r="P15" s="250">
        <v>165000</v>
      </c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.75" x14ac:dyDescent="0.3">
      <c r="A16" s="52"/>
      <c r="B16" s="176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3"/>
      <c r="N16" s="52"/>
      <c r="O16" s="247"/>
      <c r="P16" s="250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18.75" x14ac:dyDescent="0.3">
      <c r="A17" s="52"/>
      <c r="B17" s="251">
        <v>8</v>
      </c>
      <c r="C17" s="249" t="s">
        <v>386</v>
      </c>
      <c r="D17" s="249"/>
      <c r="E17" s="249"/>
      <c r="F17" s="249"/>
      <c r="G17" s="249" t="s">
        <v>224</v>
      </c>
      <c r="H17" s="249"/>
      <c r="I17" s="249"/>
      <c r="J17" s="249"/>
      <c r="K17" s="249"/>
      <c r="L17" s="249"/>
      <c r="M17" s="253">
        <v>25000</v>
      </c>
      <c r="N17" s="52"/>
      <c r="O17" s="247"/>
      <c r="P17" s="250">
        <v>25000</v>
      </c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18.75" x14ac:dyDescent="0.3">
      <c r="A18" s="52"/>
      <c r="B18" s="176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113"/>
      <c r="N18" s="52"/>
      <c r="O18" s="247"/>
      <c r="P18" s="250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18.75" x14ac:dyDescent="0.3">
      <c r="A19" s="52"/>
      <c r="B19" s="251">
        <v>9</v>
      </c>
      <c r="C19" s="249" t="s">
        <v>360</v>
      </c>
      <c r="D19" s="249"/>
      <c r="E19" s="249"/>
      <c r="F19" s="249"/>
      <c r="G19" s="249"/>
      <c r="H19" s="249"/>
      <c r="I19" s="249"/>
      <c r="J19" s="249"/>
      <c r="K19" s="249"/>
      <c r="L19" s="249"/>
      <c r="M19" s="254">
        <v>25000</v>
      </c>
      <c r="N19" s="52"/>
      <c r="O19" s="247"/>
      <c r="P19" s="250">
        <v>25000</v>
      </c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ht="18.75" x14ac:dyDescent="0.3">
      <c r="A20" s="52"/>
      <c r="B20" s="176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113"/>
      <c r="N20" s="52"/>
      <c r="O20" s="247"/>
      <c r="P20" s="250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ht="18.75" x14ac:dyDescent="0.3">
      <c r="A21" s="52"/>
      <c r="B21" s="244">
        <v>10</v>
      </c>
      <c r="C21" s="179" t="s">
        <v>376</v>
      </c>
      <c r="D21" s="179"/>
      <c r="E21" s="179"/>
      <c r="F21" s="179"/>
      <c r="G21" s="179"/>
      <c r="H21" s="179"/>
      <c r="I21" s="179"/>
      <c r="J21" s="179"/>
      <c r="K21" s="179"/>
      <c r="L21" s="179"/>
      <c r="M21" s="245">
        <v>30000</v>
      </c>
      <c r="N21" s="52"/>
      <c r="O21" s="247"/>
      <c r="P21" s="250">
        <v>30000</v>
      </c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29" ht="18.75" x14ac:dyDescent="0.3">
      <c r="A22" s="52"/>
      <c r="B22" s="17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113"/>
      <c r="N22" s="52"/>
      <c r="O22" s="247"/>
      <c r="P22" s="250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18.75" x14ac:dyDescent="0.3">
      <c r="A23" s="52"/>
      <c r="B23" s="244">
        <v>11</v>
      </c>
      <c r="C23" s="179" t="s">
        <v>211</v>
      </c>
      <c r="D23" s="179"/>
      <c r="E23" s="179"/>
      <c r="F23" s="179"/>
      <c r="G23" s="179"/>
      <c r="H23" s="179"/>
      <c r="I23" s="179"/>
      <c r="J23" s="179"/>
      <c r="K23" s="179"/>
      <c r="L23" s="179"/>
      <c r="M23" s="246">
        <v>30000</v>
      </c>
      <c r="N23" s="52"/>
      <c r="O23" s="247">
        <v>30000</v>
      </c>
      <c r="P23" s="250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18.75" x14ac:dyDescent="0.3">
      <c r="A24" s="52"/>
      <c r="B24" s="17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113"/>
      <c r="N24" s="52"/>
      <c r="O24" s="247"/>
      <c r="P24" s="250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18.75" x14ac:dyDescent="0.3">
      <c r="A25" s="52"/>
      <c r="B25" s="52"/>
      <c r="D25" s="52"/>
      <c r="E25" s="52"/>
      <c r="F25" s="52"/>
      <c r="G25" s="52"/>
      <c r="H25" s="52"/>
      <c r="I25" s="52"/>
      <c r="M25" s="178"/>
      <c r="N25" s="52"/>
      <c r="O25" s="247">
        <f>SUM(O5:O23)</f>
        <v>296875</v>
      </c>
      <c r="P25" s="250">
        <f>SUM(P3:P23)</f>
        <v>798350</v>
      </c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18.75" x14ac:dyDescent="0.3">
      <c r="A26" s="52"/>
      <c r="B26" s="314" t="s">
        <v>347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249"/>
      <c r="O26" s="178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18.75" x14ac:dyDescent="0.3">
      <c r="A27" s="52"/>
      <c r="B27" s="314" t="s">
        <v>409</v>
      </c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249"/>
      <c r="O27" s="250">
        <f>P25*0.5</f>
        <v>399175</v>
      </c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ht="18.75" x14ac:dyDescent="0.3">
      <c r="A28" s="52"/>
      <c r="B28" s="114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113"/>
      <c r="N28" s="52"/>
      <c r="O28" s="178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ht="18.75" x14ac:dyDescent="0.3">
      <c r="A29" s="52"/>
      <c r="B29" s="255" t="s">
        <v>348</v>
      </c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178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ht="18.75" x14ac:dyDescent="0.3">
      <c r="A30" s="52"/>
      <c r="B30" s="255" t="s">
        <v>410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50">
        <f>O27*0.75</f>
        <v>299381.25</v>
      </c>
      <c r="P30" s="52"/>
      <c r="Q30" s="52"/>
      <c r="R30" s="52"/>
      <c r="S30" s="113"/>
      <c r="T30" s="52"/>
      <c r="U30" s="52"/>
      <c r="V30" s="52"/>
      <c r="W30" s="52"/>
      <c r="X30" s="52"/>
      <c r="Y30" s="52"/>
      <c r="Z30" s="52"/>
      <c r="AA30" s="52"/>
      <c r="AB30" s="52"/>
      <c r="AC30" s="52"/>
    </row>
    <row r="31" spans="1:29" ht="18.75" x14ac:dyDescent="0.3">
      <c r="A31" s="52"/>
      <c r="B31" s="11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178"/>
      <c r="P31" s="52"/>
      <c r="Q31" s="52"/>
      <c r="R31" s="52"/>
      <c r="S31" s="113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29" ht="18.75" x14ac:dyDescent="0.3">
      <c r="A32" s="52"/>
      <c r="B32" s="255" t="s">
        <v>411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50">
        <f>P25-O27-O30</f>
        <v>99793.75</v>
      </c>
      <c r="P32" s="52"/>
      <c r="Q32" s="52"/>
      <c r="R32" s="52"/>
      <c r="S32" s="113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1:29" ht="18.75" x14ac:dyDescent="0.3">
      <c r="A33" s="52"/>
      <c r="B33" s="114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178"/>
      <c r="P33" s="52"/>
      <c r="Q33" s="52"/>
      <c r="R33" s="52"/>
      <c r="S33" s="113"/>
      <c r="T33" s="52"/>
      <c r="U33" s="52"/>
      <c r="V33" s="52"/>
      <c r="W33" s="52"/>
      <c r="X33" s="52"/>
      <c r="Y33" s="52"/>
      <c r="Z33" s="52"/>
      <c r="AA33" s="52"/>
      <c r="AB33" s="52"/>
      <c r="AC33" s="52"/>
    </row>
    <row r="34" spans="1:29" ht="18.75" x14ac:dyDescent="0.3">
      <c r="A34" s="52"/>
      <c r="B34" s="256" t="s">
        <v>378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8">
        <f>P11+P13+P15+P17+P19</f>
        <v>318350</v>
      </c>
      <c r="P34" s="52"/>
      <c r="Q34" s="52"/>
      <c r="R34" s="52"/>
      <c r="S34" s="113"/>
      <c r="T34" s="52"/>
      <c r="U34" s="52"/>
      <c r="V34" s="52"/>
      <c r="W34" s="52"/>
      <c r="X34" s="52"/>
      <c r="Y34" s="52"/>
      <c r="Z34" s="52"/>
      <c r="AA34" s="52"/>
      <c r="AB34" s="52"/>
      <c r="AC34" s="52"/>
    </row>
    <row r="35" spans="1:29" ht="18.75" x14ac:dyDescent="0.3">
      <c r="A35" s="52"/>
      <c r="B35" s="114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178"/>
      <c r="P35" s="52"/>
      <c r="Q35" s="52"/>
      <c r="R35" s="52"/>
      <c r="S35" s="113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1:29" ht="18.75" x14ac:dyDescent="0.3">
      <c r="A36" s="52"/>
      <c r="B36" s="11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178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1:29" ht="18.75" x14ac:dyDescent="0.3">
      <c r="A37" s="52"/>
      <c r="B37" s="180"/>
      <c r="C37" s="112" t="s">
        <v>223</v>
      </c>
      <c r="D37" s="52"/>
      <c r="E37" s="52"/>
      <c r="F37" s="195">
        <v>318400</v>
      </c>
      <c r="G37" s="52"/>
      <c r="H37" s="52"/>
      <c r="I37" s="52"/>
      <c r="J37" s="52"/>
      <c r="K37" s="52"/>
      <c r="L37" s="52"/>
      <c r="M37" s="52"/>
      <c r="N37" s="52"/>
      <c r="O37" s="178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  <row r="38" spans="1:29" ht="18.75" x14ac:dyDescent="0.3">
      <c r="A38" s="52"/>
      <c r="B38" s="114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</row>
    <row r="39" spans="1:29" ht="18.75" x14ac:dyDescent="0.3">
      <c r="A39" s="52"/>
      <c r="B39" s="52"/>
      <c r="C39" s="278"/>
      <c r="D39" s="285" t="s">
        <v>408</v>
      </c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</row>
    <row r="40" spans="1:29" ht="18.7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</row>
    <row r="41" spans="1:29" ht="18.75" x14ac:dyDescent="0.3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</row>
    <row r="42" spans="1:29" ht="18.75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</row>
    <row r="43" spans="1:29" ht="18.75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</row>
    <row r="44" spans="1:29" ht="18.75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</row>
    <row r="45" spans="1:29" ht="18.75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</row>
    <row r="46" spans="1:29" ht="18.75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29" ht="18.75" x14ac:dyDescent="0.3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</row>
    <row r="48" spans="1:29" ht="18.75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</row>
    <row r="49" spans="1:29" ht="18.75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</row>
    <row r="50" spans="1:29" ht="18.75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</row>
    <row r="51" spans="1:29" ht="18.75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</row>
    <row r="52" spans="1:29" ht="18.75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</row>
    <row r="53" spans="1:29" ht="18.75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</row>
    <row r="54" spans="1:29" ht="18.75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</row>
    <row r="55" spans="1:29" ht="18.75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</row>
    <row r="56" spans="1:29" ht="18.75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</row>
    <row r="57" spans="1:29" ht="18.75" x14ac:dyDescent="0.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</row>
    <row r="58" spans="1:29" ht="18.75" x14ac:dyDescent="0.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</row>
    <row r="59" spans="1:29" ht="18.75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</row>
    <row r="60" spans="1:29" ht="18.75" x14ac:dyDescent="0.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</row>
    <row r="61" spans="1:29" ht="18.75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</row>
    <row r="62" spans="1:29" ht="18.75" x14ac:dyDescent="0.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</row>
    <row r="63" spans="1:29" ht="18.75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</row>
    <row r="64" spans="1:29" ht="18.75" x14ac:dyDescent="0.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</row>
    <row r="65" spans="1:29" ht="18.75" x14ac:dyDescent="0.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</row>
    <row r="66" spans="1:29" ht="18.75" x14ac:dyDescent="0.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</row>
    <row r="67" spans="1:29" ht="18.75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</row>
    <row r="68" spans="1:29" ht="18.75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</row>
    <row r="69" spans="1:29" ht="18.75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</row>
  </sheetData>
  <mergeCells count="4">
    <mergeCell ref="C5:I5"/>
    <mergeCell ref="B26:M26"/>
    <mergeCell ref="B27:M27"/>
    <mergeCell ref="D39:O3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523B-EBC7-4CF0-9ED1-D3F5A3A92A42}">
  <dimension ref="B2:H20"/>
  <sheetViews>
    <sheetView workbookViewId="0">
      <selection activeCell="H37" sqref="H37"/>
    </sheetView>
  </sheetViews>
  <sheetFormatPr defaultRowHeight="15" x14ac:dyDescent="0.25"/>
  <sheetData>
    <row r="2" spans="2:8" ht="18.75" x14ac:dyDescent="0.3">
      <c r="D2" s="112" t="s">
        <v>199</v>
      </c>
      <c r="E2" s="50"/>
      <c r="F2" s="50"/>
      <c r="G2" s="50"/>
      <c r="H2" s="50"/>
    </row>
    <row r="4" spans="2:8" x14ac:dyDescent="0.25">
      <c r="B4" s="50" t="s">
        <v>139</v>
      </c>
    </row>
    <row r="6" spans="2:8" x14ac:dyDescent="0.25">
      <c r="B6" t="s">
        <v>331</v>
      </c>
    </row>
    <row r="7" spans="2:8" x14ac:dyDescent="0.25">
      <c r="B7" t="s">
        <v>332</v>
      </c>
      <c r="G7" s="243">
        <v>36400</v>
      </c>
    </row>
    <row r="8" spans="2:8" x14ac:dyDescent="0.25">
      <c r="G8" s="243"/>
    </row>
    <row r="9" spans="2:8" x14ac:dyDescent="0.25">
      <c r="B9" s="182"/>
      <c r="C9" s="50"/>
      <c r="D9" s="50"/>
      <c r="E9" s="50"/>
      <c r="F9" s="50"/>
      <c r="G9" s="243"/>
    </row>
    <row r="10" spans="2:8" x14ac:dyDescent="0.25">
      <c r="B10" s="182"/>
      <c r="C10" s="50"/>
      <c r="D10" s="50"/>
      <c r="E10" s="50"/>
      <c r="F10" s="50"/>
      <c r="G10" s="243"/>
    </row>
    <row r="11" spans="2:8" x14ac:dyDescent="0.25">
      <c r="B11" s="50" t="s">
        <v>333</v>
      </c>
      <c r="G11" s="243"/>
    </row>
    <row r="12" spans="2:8" x14ac:dyDescent="0.25">
      <c r="G12" s="243"/>
    </row>
    <row r="13" spans="2:8" x14ac:dyDescent="0.25">
      <c r="B13" t="s">
        <v>331</v>
      </c>
      <c r="G13" s="243"/>
    </row>
    <row r="14" spans="2:8" x14ac:dyDescent="0.25">
      <c r="G14" s="243"/>
    </row>
    <row r="15" spans="2:8" x14ac:dyDescent="0.25">
      <c r="B15" t="s">
        <v>334</v>
      </c>
      <c r="G15" s="243">
        <v>30000</v>
      </c>
    </row>
    <row r="16" spans="2:8" x14ac:dyDescent="0.25">
      <c r="B16" s="50"/>
      <c r="C16" s="50"/>
      <c r="D16" s="50"/>
      <c r="G16" s="243"/>
    </row>
    <row r="17" spans="2:7" x14ac:dyDescent="0.25">
      <c r="B17" s="50"/>
      <c r="C17" s="50"/>
      <c r="D17" s="50"/>
      <c r="G17" s="243"/>
    </row>
    <row r="18" spans="2:7" x14ac:dyDescent="0.25">
      <c r="E18" t="s">
        <v>4</v>
      </c>
      <c r="G18" s="243">
        <f>SUM(G7:G15)</f>
        <v>66400</v>
      </c>
    </row>
    <row r="19" spans="2:7" x14ac:dyDescent="0.25">
      <c r="G19" s="243"/>
    </row>
    <row r="20" spans="2:7" x14ac:dyDescent="0.25">
      <c r="B20" s="50" t="s">
        <v>335</v>
      </c>
      <c r="C20" s="50"/>
      <c r="D20" s="50"/>
      <c r="G20" s="2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FE5A-FCF6-4761-A7F6-D541566AD7AC}">
  <dimension ref="A1:F21"/>
  <sheetViews>
    <sheetView view="pageLayout" zoomScaleNormal="100" workbookViewId="0">
      <selection activeCell="E18" sqref="E18"/>
    </sheetView>
  </sheetViews>
  <sheetFormatPr defaultColWidth="9.140625" defaultRowHeight="18" x14ac:dyDescent="0.25"/>
  <cols>
    <col min="1" max="1" width="26.28515625" style="21" customWidth="1"/>
    <col min="2" max="2" width="22.140625" style="20" customWidth="1"/>
    <col min="3" max="3" width="20.7109375" style="20" customWidth="1"/>
    <col min="4" max="4" width="14.7109375" style="20" customWidth="1"/>
    <col min="5" max="5" width="19.7109375" style="20" customWidth="1"/>
    <col min="6" max="6" width="20.140625" style="20" customWidth="1"/>
    <col min="7" max="16384" width="9.140625" style="20"/>
  </cols>
  <sheetData>
    <row r="1" spans="1:6" s="27" customFormat="1" ht="35.25" customHeight="1" thickTop="1" x14ac:dyDescent="0.25">
      <c r="A1" s="34" t="s">
        <v>0</v>
      </c>
      <c r="B1" s="45" t="s">
        <v>17</v>
      </c>
      <c r="C1" s="46" t="s">
        <v>116</v>
      </c>
      <c r="D1" s="46" t="s">
        <v>237</v>
      </c>
      <c r="E1" s="46" t="s">
        <v>18</v>
      </c>
      <c r="F1" s="46" t="s">
        <v>117</v>
      </c>
    </row>
    <row r="2" spans="1:6" s="26" customFormat="1" x14ac:dyDescent="0.25">
      <c r="A2" s="209" t="s">
        <v>228</v>
      </c>
      <c r="B2" s="209">
        <v>0</v>
      </c>
      <c r="C2" s="209">
        <v>0</v>
      </c>
      <c r="D2" s="47">
        <v>19.260000000000002</v>
      </c>
      <c r="E2" s="57">
        <f t="shared" ref="E2:E8" si="0">(B2*D2)/2</f>
        <v>0</v>
      </c>
      <c r="F2" s="47">
        <f t="shared" ref="F2:F8" si="1">C2*D2</f>
        <v>0</v>
      </c>
    </row>
    <row r="3" spans="1:6" s="26" customFormat="1" x14ac:dyDescent="0.25">
      <c r="A3" s="25" t="s">
        <v>8</v>
      </c>
      <c r="B3" s="91">
        <v>0</v>
      </c>
      <c r="C3" s="90">
        <v>80</v>
      </c>
      <c r="D3" s="210">
        <v>35.49</v>
      </c>
      <c r="E3" s="57">
        <f t="shared" si="0"/>
        <v>0</v>
      </c>
      <c r="F3" s="47">
        <f t="shared" si="1"/>
        <v>2839.2000000000003</v>
      </c>
    </row>
    <row r="4" spans="1:6" s="26" customFormat="1" x14ac:dyDescent="0.25">
      <c r="A4" s="25" t="s">
        <v>9</v>
      </c>
      <c r="B4" s="91">
        <v>10</v>
      </c>
      <c r="C4" s="90">
        <v>80</v>
      </c>
      <c r="D4" s="210">
        <v>27.48</v>
      </c>
      <c r="E4" s="57">
        <f t="shared" si="0"/>
        <v>137.4</v>
      </c>
      <c r="F4" s="47">
        <f t="shared" si="1"/>
        <v>2198.4</v>
      </c>
    </row>
    <row r="5" spans="1:6" s="26" customFormat="1" x14ac:dyDescent="0.25">
      <c r="A5" s="25" t="s">
        <v>10</v>
      </c>
      <c r="B5" s="91">
        <v>0</v>
      </c>
      <c r="C5" s="90">
        <v>0</v>
      </c>
      <c r="D5" s="210">
        <v>22.9</v>
      </c>
      <c r="E5" s="57">
        <f t="shared" si="0"/>
        <v>0</v>
      </c>
      <c r="F5" s="47">
        <f t="shared" si="1"/>
        <v>0</v>
      </c>
    </row>
    <row r="6" spans="1:6" ht="18.75" thickBot="1" x14ac:dyDescent="0.3">
      <c r="A6" s="25" t="s">
        <v>11</v>
      </c>
      <c r="B6" s="91">
        <v>0</v>
      </c>
      <c r="C6" s="90">
        <v>58</v>
      </c>
      <c r="D6" s="210">
        <v>21.19</v>
      </c>
      <c r="E6" s="57">
        <f t="shared" si="0"/>
        <v>0</v>
      </c>
      <c r="F6" s="47">
        <f t="shared" si="1"/>
        <v>1229.02</v>
      </c>
    </row>
    <row r="7" spans="1:6" ht="18.75" thickTop="1" x14ac:dyDescent="0.25">
      <c r="A7" s="25" t="s">
        <v>12</v>
      </c>
      <c r="B7" s="92">
        <v>0</v>
      </c>
      <c r="C7" s="90">
        <v>60</v>
      </c>
      <c r="D7" s="210">
        <v>24.04</v>
      </c>
      <c r="E7" s="57">
        <f t="shared" si="0"/>
        <v>0</v>
      </c>
      <c r="F7" s="47">
        <f t="shared" si="1"/>
        <v>1442.3999999999999</v>
      </c>
    </row>
    <row r="8" spans="1:6" x14ac:dyDescent="0.25">
      <c r="A8" s="25" t="s">
        <v>13</v>
      </c>
      <c r="B8" s="91">
        <v>0</v>
      </c>
      <c r="C8" s="90">
        <v>80</v>
      </c>
      <c r="D8" s="211">
        <v>77.06</v>
      </c>
      <c r="E8" s="57">
        <f t="shared" si="0"/>
        <v>0</v>
      </c>
      <c r="F8" s="47">
        <f t="shared" si="1"/>
        <v>6164.8</v>
      </c>
    </row>
    <row r="9" spans="1:6" x14ac:dyDescent="0.25">
      <c r="A9" s="25"/>
      <c r="B9" s="93"/>
      <c r="C9" s="90"/>
      <c r="D9" s="47"/>
      <c r="E9" s="57"/>
      <c r="F9" s="47"/>
    </row>
    <row r="10" spans="1:6" x14ac:dyDescent="0.25">
      <c r="A10" s="25"/>
      <c r="B10" s="93"/>
      <c r="C10" s="90"/>
      <c r="D10" s="47"/>
      <c r="E10" s="57"/>
      <c r="F10" s="47"/>
    </row>
    <row r="11" spans="1:6" x14ac:dyDescent="0.25">
      <c r="A11" s="25"/>
      <c r="B11" s="93"/>
      <c r="C11" s="90"/>
      <c r="D11" s="47"/>
      <c r="E11" s="57"/>
      <c r="F11" s="47"/>
    </row>
    <row r="12" spans="1:6" ht="18.75" thickBot="1" x14ac:dyDescent="0.3">
      <c r="A12" s="42"/>
      <c r="B12" s="56"/>
      <c r="C12" s="56"/>
      <c r="D12" s="49"/>
      <c r="E12" s="58"/>
      <c r="F12" s="48"/>
    </row>
    <row r="13" spans="1:6" ht="18.75" thickBot="1" x14ac:dyDescent="0.3">
      <c r="A13" s="204" t="s">
        <v>4</v>
      </c>
      <c r="B13" s="205"/>
      <c r="C13" s="206"/>
      <c r="D13" s="207"/>
      <c r="E13" s="208">
        <f>SUM(E2:E12)</f>
        <v>137.4</v>
      </c>
      <c r="F13" s="59">
        <f>SUM(F2:F12)</f>
        <v>13873.82</v>
      </c>
    </row>
    <row r="14" spans="1:6" x14ac:dyDescent="0.25">
      <c r="B14" s="282"/>
      <c r="C14" s="282"/>
      <c r="D14" s="282"/>
      <c r="E14" s="282"/>
      <c r="F14" s="23"/>
    </row>
    <row r="15" spans="1:6" x14ac:dyDescent="0.25">
      <c r="A15"/>
      <c r="B15"/>
      <c r="C15"/>
    </row>
    <row r="16" spans="1:6" x14ac:dyDescent="0.25">
      <c r="A16"/>
      <c r="B16"/>
      <c r="C16"/>
    </row>
    <row r="17" spans="1:6" x14ac:dyDescent="0.25">
      <c r="A17" s="291"/>
      <c r="B17" s="291"/>
      <c r="C17" s="291"/>
      <c r="D17" s="291"/>
      <c r="E17" s="291"/>
      <c r="F17" s="23"/>
    </row>
    <row r="18" spans="1:6" x14ac:dyDescent="0.25">
      <c r="A18" s="292" t="s">
        <v>118</v>
      </c>
      <c r="B18" s="288"/>
      <c r="C18" s="60">
        <f>E13+F13</f>
        <v>14011.22</v>
      </c>
      <c r="D18"/>
      <c r="E18"/>
      <c r="F18" s="22"/>
    </row>
    <row r="19" spans="1:6" x14ac:dyDescent="0.25">
      <c r="A19" s="50"/>
      <c r="B19"/>
      <c r="C19"/>
      <c r="D19"/>
      <c r="E19"/>
    </row>
    <row r="20" spans="1:6" x14ac:dyDescent="0.25">
      <c r="A20" s="293" t="s">
        <v>244</v>
      </c>
      <c r="B20" s="293"/>
      <c r="C20" s="212">
        <v>14100</v>
      </c>
      <c r="D20"/>
      <c r="E20"/>
    </row>
    <row r="21" spans="1:6" x14ac:dyDescent="0.25">
      <c r="A21"/>
      <c r="B21"/>
      <c r="C21"/>
      <c r="D21"/>
      <c r="E21"/>
    </row>
  </sheetData>
  <mergeCells count="4">
    <mergeCell ref="B14:E14"/>
    <mergeCell ref="A17:E17"/>
    <mergeCell ref="A18:B18"/>
    <mergeCell ref="A20:B20"/>
  </mergeCells>
  <printOptions horizontalCentered="1"/>
  <pageMargins left="0.92" right="0.92" top="1.6354166666666667" bottom="1" header="0.86" footer="0.5"/>
  <pageSetup paperSize="5" orientation="landscape" r:id="rId1"/>
  <headerFooter alignWithMargins="0">
    <oddHeader xml:space="preserve">&amp;C&amp;"Tahoma,Bold"&amp;16FYE 2025 COMPENSATION FOR UNUSED ANNUAL AND SICK LEAVE
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CD69-6943-495F-AE88-A9569C33ADE9}">
  <dimension ref="A1:N65"/>
  <sheetViews>
    <sheetView tabSelected="1" view="pageLayout" zoomScaleNormal="100" workbookViewId="0">
      <selection activeCell="C64" sqref="C64"/>
    </sheetView>
  </sheetViews>
  <sheetFormatPr defaultRowHeight="15" x14ac:dyDescent="0.25"/>
  <cols>
    <col min="1" max="1" width="10.7109375" customWidth="1"/>
    <col min="2" max="2" width="32.42578125" customWidth="1"/>
    <col min="3" max="4" width="13.5703125" bestFit="1" customWidth="1"/>
    <col min="5" max="5" width="15" customWidth="1"/>
    <col min="6" max="6" width="12.140625" customWidth="1"/>
  </cols>
  <sheetData>
    <row r="1" spans="1:14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x14ac:dyDescent="0.25">
      <c r="C2" s="88" t="s">
        <v>127</v>
      </c>
      <c r="D2" s="88" t="s">
        <v>128</v>
      </c>
    </row>
    <row r="3" spans="1:14" x14ac:dyDescent="0.25">
      <c r="A3" s="146" t="s">
        <v>19</v>
      </c>
      <c r="B3" s="146" t="s">
        <v>20</v>
      </c>
      <c r="C3" s="146" t="s">
        <v>157</v>
      </c>
      <c r="D3" s="146" t="s">
        <v>320</v>
      </c>
      <c r="E3" s="146" t="s">
        <v>21</v>
      </c>
      <c r="F3" s="146" t="s">
        <v>22</v>
      </c>
      <c r="G3" s="324" t="s">
        <v>105</v>
      </c>
      <c r="H3" s="325"/>
      <c r="I3" s="325"/>
      <c r="J3" s="325"/>
      <c r="K3" s="325"/>
      <c r="L3" s="325"/>
      <c r="M3" s="325"/>
      <c r="N3" s="326"/>
    </row>
    <row r="5" spans="1:14" x14ac:dyDescent="0.25">
      <c r="A5" s="115">
        <v>538.12</v>
      </c>
      <c r="B5" s="145" t="s">
        <v>200</v>
      </c>
      <c r="C5" s="116">
        <v>493600</v>
      </c>
      <c r="D5" s="116">
        <v>525300</v>
      </c>
      <c r="E5" s="116">
        <f>D5-C5</f>
        <v>31700</v>
      </c>
      <c r="F5" s="117">
        <f>E5/C5*100</f>
        <v>6.4222042139384126</v>
      </c>
      <c r="G5" s="318" t="s">
        <v>209</v>
      </c>
      <c r="H5" s="319"/>
      <c r="I5" s="319"/>
      <c r="J5" s="319"/>
      <c r="K5" s="319"/>
      <c r="L5" s="319"/>
      <c r="M5" s="319"/>
      <c r="N5" s="320"/>
    </row>
    <row r="6" spans="1:14" x14ac:dyDescent="0.25">
      <c r="A6" s="115">
        <v>538.125</v>
      </c>
      <c r="B6" s="145" t="s">
        <v>201</v>
      </c>
      <c r="C6" s="116">
        <v>10800</v>
      </c>
      <c r="D6" s="116">
        <v>10800</v>
      </c>
      <c r="E6" s="116">
        <f>D6-C6</f>
        <v>0</v>
      </c>
      <c r="F6" s="117">
        <f>E6/C6*100</f>
        <v>0</v>
      </c>
      <c r="G6" s="318" t="s">
        <v>208</v>
      </c>
      <c r="H6" s="319"/>
      <c r="I6" s="319"/>
      <c r="J6" s="319"/>
      <c r="K6" s="319"/>
      <c r="L6" s="319"/>
      <c r="M6" s="319"/>
      <c r="N6" s="320"/>
    </row>
    <row r="7" spans="1:14" x14ac:dyDescent="0.25">
      <c r="A7" s="115">
        <v>538.15</v>
      </c>
      <c r="B7" s="145" t="s">
        <v>112</v>
      </c>
      <c r="C7" s="116">
        <v>10400</v>
      </c>
      <c r="D7" s="116">
        <v>14100</v>
      </c>
      <c r="E7" s="116">
        <f>D7-C7</f>
        <v>3700</v>
      </c>
      <c r="F7" s="117">
        <f>E7/C7*100</f>
        <v>35.57692307692308</v>
      </c>
      <c r="G7" s="145" t="s">
        <v>113</v>
      </c>
      <c r="H7" s="145"/>
      <c r="I7" s="145"/>
      <c r="J7" s="145"/>
      <c r="K7" s="145"/>
      <c r="L7" s="145"/>
      <c r="M7" s="145"/>
      <c r="N7" s="145"/>
    </row>
    <row r="8" spans="1:14" x14ac:dyDescent="0.25">
      <c r="A8" s="115">
        <v>538.13</v>
      </c>
      <c r="B8" s="145" t="s">
        <v>24</v>
      </c>
      <c r="C8" s="116">
        <v>2200</v>
      </c>
      <c r="D8" s="116">
        <v>2200</v>
      </c>
      <c r="E8" s="116">
        <f t="shared" ref="E8:E42" si="0">D8-C8</f>
        <v>0</v>
      </c>
      <c r="F8" s="117">
        <f t="shared" ref="F8:F42" si="1">E8/C8*100</f>
        <v>0</v>
      </c>
      <c r="G8" s="318" t="s">
        <v>68</v>
      </c>
      <c r="H8" s="319"/>
      <c r="I8" s="319"/>
      <c r="J8" s="319"/>
      <c r="K8" s="319"/>
      <c r="L8" s="319"/>
      <c r="M8" s="319"/>
      <c r="N8" s="320"/>
    </row>
    <row r="9" spans="1:14" x14ac:dyDescent="0.25">
      <c r="A9" s="115">
        <v>538.20000000000005</v>
      </c>
      <c r="B9" s="145" t="s">
        <v>23</v>
      </c>
      <c r="C9" s="116">
        <v>7500</v>
      </c>
      <c r="D9" s="116">
        <v>7700</v>
      </c>
      <c r="E9" s="116">
        <f t="shared" si="0"/>
        <v>200</v>
      </c>
      <c r="F9" s="117">
        <f t="shared" si="1"/>
        <v>2.666666666666667</v>
      </c>
      <c r="G9" s="318" t="s">
        <v>67</v>
      </c>
      <c r="H9" s="319"/>
      <c r="I9" s="319"/>
      <c r="J9" s="319"/>
      <c r="K9" s="319"/>
      <c r="L9" s="319"/>
      <c r="M9" s="319"/>
      <c r="N9" s="320"/>
    </row>
    <row r="10" spans="1:14" x14ac:dyDescent="0.25">
      <c r="A10" s="115">
        <v>538.21</v>
      </c>
      <c r="B10" s="145" t="s">
        <v>25</v>
      </c>
      <c r="C10" s="116">
        <v>31300</v>
      </c>
      <c r="D10" s="116">
        <v>32600</v>
      </c>
      <c r="E10" s="116">
        <f t="shared" si="0"/>
        <v>1300</v>
      </c>
      <c r="F10" s="117">
        <f t="shared" si="1"/>
        <v>4.1533546325878596</v>
      </c>
      <c r="G10" s="318" t="s">
        <v>66</v>
      </c>
      <c r="H10" s="319"/>
      <c r="I10" s="319"/>
      <c r="J10" s="319"/>
      <c r="K10" s="319"/>
      <c r="L10" s="319"/>
      <c r="M10" s="319"/>
      <c r="N10" s="320"/>
    </row>
    <row r="11" spans="1:14" x14ac:dyDescent="0.25">
      <c r="A11" s="115">
        <v>538.22</v>
      </c>
      <c r="B11" s="145" t="s">
        <v>149</v>
      </c>
      <c r="C11" s="116">
        <v>118200</v>
      </c>
      <c r="D11" s="265">
        <v>127300</v>
      </c>
      <c r="E11" s="116">
        <f t="shared" si="0"/>
        <v>9100</v>
      </c>
      <c r="F11" s="117">
        <f t="shared" si="1"/>
        <v>7.6988155668358722</v>
      </c>
      <c r="G11" s="318" t="s">
        <v>148</v>
      </c>
      <c r="H11" s="322"/>
      <c r="I11" s="322"/>
      <c r="J11" s="322"/>
      <c r="K11" s="322"/>
      <c r="L11" s="322"/>
      <c r="M11" s="322"/>
      <c r="N11" s="323"/>
    </row>
    <row r="12" spans="1:14" x14ac:dyDescent="0.25">
      <c r="A12" s="115">
        <v>538.22699999999998</v>
      </c>
      <c r="B12" s="145" t="s">
        <v>156</v>
      </c>
      <c r="C12" s="116">
        <v>21000</v>
      </c>
      <c r="D12" s="116">
        <v>22000</v>
      </c>
      <c r="E12" s="116">
        <f t="shared" si="0"/>
        <v>1000</v>
      </c>
      <c r="F12" s="117">
        <f t="shared" si="1"/>
        <v>4.7619047619047619</v>
      </c>
      <c r="G12" s="318" t="s">
        <v>210</v>
      </c>
      <c r="H12" s="319"/>
      <c r="I12" s="319"/>
      <c r="J12" s="319"/>
      <c r="K12" s="319"/>
      <c r="L12" s="319"/>
      <c r="M12" s="319"/>
      <c r="N12" s="320"/>
    </row>
    <row r="13" spans="1:14" x14ac:dyDescent="0.25">
      <c r="A13" s="115">
        <v>538.23</v>
      </c>
      <c r="B13" s="145" t="s">
        <v>26</v>
      </c>
      <c r="C13" s="116">
        <v>130700</v>
      </c>
      <c r="D13" s="116">
        <v>130400</v>
      </c>
      <c r="E13" s="116">
        <f t="shared" si="0"/>
        <v>-300</v>
      </c>
      <c r="F13" s="117">
        <f t="shared" si="1"/>
        <v>-0.22953328232593728</v>
      </c>
      <c r="G13" s="318" t="s">
        <v>62</v>
      </c>
      <c r="H13" s="319"/>
      <c r="I13" s="319"/>
      <c r="J13" s="319"/>
      <c r="K13" s="319"/>
      <c r="L13" s="319"/>
      <c r="M13" s="319"/>
      <c r="N13" s="320"/>
    </row>
    <row r="14" spans="1:14" x14ac:dyDescent="0.25">
      <c r="A14" s="115">
        <v>538.24</v>
      </c>
      <c r="B14" s="145" t="s">
        <v>27</v>
      </c>
      <c r="C14" s="116">
        <v>8400</v>
      </c>
      <c r="D14" s="265">
        <v>8100</v>
      </c>
      <c r="E14" s="116">
        <f t="shared" si="0"/>
        <v>-300</v>
      </c>
      <c r="F14" s="117">
        <f t="shared" si="1"/>
        <v>-3.5714285714285712</v>
      </c>
      <c r="G14" s="318" t="s">
        <v>65</v>
      </c>
      <c r="H14" s="319"/>
      <c r="I14" s="319"/>
      <c r="J14" s="319"/>
      <c r="K14" s="319"/>
      <c r="L14" s="319"/>
      <c r="M14" s="319"/>
      <c r="N14" s="320"/>
    </row>
    <row r="15" spans="1:14" x14ac:dyDescent="0.25">
      <c r="A15" s="115">
        <v>538.25</v>
      </c>
      <c r="B15" s="145" t="s">
        <v>28</v>
      </c>
      <c r="C15" s="116">
        <v>0</v>
      </c>
      <c r="D15" s="116">
        <v>0</v>
      </c>
      <c r="E15" s="116">
        <f t="shared" si="0"/>
        <v>0</v>
      </c>
      <c r="F15" s="117">
        <v>0</v>
      </c>
      <c r="G15" s="318" t="s">
        <v>63</v>
      </c>
      <c r="H15" s="319"/>
      <c r="I15" s="319"/>
      <c r="J15" s="319"/>
      <c r="K15" s="319"/>
      <c r="L15" s="319"/>
      <c r="M15" s="319"/>
      <c r="N15" s="320"/>
    </row>
    <row r="16" spans="1:14" x14ac:dyDescent="0.25">
      <c r="A16" s="115">
        <v>538.26</v>
      </c>
      <c r="B16" s="145" t="s">
        <v>37</v>
      </c>
      <c r="C16" s="116">
        <v>63500</v>
      </c>
      <c r="D16" s="265">
        <v>79500</v>
      </c>
      <c r="E16" s="116">
        <f t="shared" si="0"/>
        <v>16000</v>
      </c>
      <c r="F16" s="117">
        <f>E16/C16*100</f>
        <v>25.196850393700785</v>
      </c>
      <c r="G16" s="145" t="s">
        <v>126</v>
      </c>
      <c r="H16" s="145"/>
      <c r="I16" s="145"/>
      <c r="J16" s="145"/>
      <c r="K16" s="145"/>
      <c r="L16" s="145"/>
      <c r="M16" s="145"/>
      <c r="N16" s="145"/>
    </row>
    <row r="17" spans="1:14" x14ac:dyDescent="0.25">
      <c r="A17" s="115">
        <v>538.30999999999995</v>
      </c>
      <c r="B17" s="145" t="s">
        <v>29</v>
      </c>
      <c r="C17" s="116">
        <v>30000</v>
      </c>
      <c r="D17" s="116">
        <v>30600</v>
      </c>
      <c r="E17" s="116">
        <f t="shared" si="0"/>
        <v>600</v>
      </c>
      <c r="F17" s="117">
        <f t="shared" si="1"/>
        <v>2</v>
      </c>
      <c r="G17" s="318" t="s">
        <v>64</v>
      </c>
      <c r="H17" s="319"/>
      <c r="I17" s="319"/>
      <c r="J17" s="319"/>
      <c r="K17" s="319"/>
      <c r="L17" s="319"/>
      <c r="M17" s="319"/>
      <c r="N17" s="320"/>
    </row>
    <row r="18" spans="1:14" x14ac:dyDescent="0.25">
      <c r="A18" s="115">
        <v>538.31100000000004</v>
      </c>
      <c r="B18" s="145" t="s">
        <v>30</v>
      </c>
      <c r="C18" s="116">
        <v>72200</v>
      </c>
      <c r="D18" s="265">
        <v>75200</v>
      </c>
      <c r="E18" s="116">
        <f t="shared" si="0"/>
        <v>3000</v>
      </c>
      <c r="F18" s="117">
        <f t="shared" si="1"/>
        <v>4.1551246537396125</v>
      </c>
      <c r="G18" s="318" t="s">
        <v>69</v>
      </c>
      <c r="H18" s="319"/>
      <c r="I18" s="319"/>
      <c r="J18" s="319"/>
      <c r="K18" s="319"/>
      <c r="L18" s="319"/>
      <c r="M18" s="319"/>
      <c r="N18" s="320"/>
    </row>
    <row r="19" spans="1:14" x14ac:dyDescent="0.25">
      <c r="A19" s="115">
        <v>538.32000000000005</v>
      </c>
      <c r="B19" s="145" t="s">
        <v>31</v>
      </c>
      <c r="C19" s="116">
        <v>20000</v>
      </c>
      <c r="D19" s="116">
        <v>21000</v>
      </c>
      <c r="E19" s="116">
        <f t="shared" si="0"/>
        <v>1000</v>
      </c>
      <c r="F19" s="117">
        <f t="shared" si="1"/>
        <v>5</v>
      </c>
      <c r="G19" s="318" t="s">
        <v>207</v>
      </c>
      <c r="H19" s="319"/>
      <c r="I19" s="319"/>
      <c r="J19" s="319"/>
      <c r="K19" s="319"/>
      <c r="L19" s="319"/>
      <c r="M19" s="319"/>
      <c r="N19" s="320"/>
    </row>
    <row r="20" spans="1:14" x14ac:dyDescent="0.25">
      <c r="A20" s="115">
        <v>538.34</v>
      </c>
      <c r="B20" s="145" t="s">
        <v>32</v>
      </c>
      <c r="C20" s="116">
        <v>11200</v>
      </c>
      <c r="D20" s="116">
        <v>11800</v>
      </c>
      <c r="E20" s="116">
        <f t="shared" si="0"/>
        <v>600</v>
      </c>
      <c r="F20" s="117">
        <f t="shared" si="1"/>
        <v>5.3571428571428568</v>
      </c>
      <c r="G20" s="318" t="s">
        <v>70</v>
      </c>
      <c r="H20" s="319"/>
      <c r="I20" s="319"/>
      <c r="J20" s="319"/>
      <c r="K20" s="319"/>
      <c r="L20" s="319"/>
      <c r="M20" s="319"/>
      <c r="N20" s="320"/>
    </row>
    <row r="21" spans="1:14" x14ac:dyDescent="0.25">
      <c r="A21" s="189">
        <v>538.35</v>
      </c>
      <c r="B21" s="145" t="s">
        <v>129</v>
      </c>
      <c r="C21" s="116">
        <v>14600</v>
      </c>
      <c r="D21" s="265">
        <v>20000</v>
      </c>
      <c r="E21" s="116">
        <f t="shared" si="0"/>
        <v>5400</v>
      </c>
      <c r="F21" s="117">
        <f t="shared" si="1"/>
        <v>36.986301369863014</v>
      </c>
      <c r="G21" s="318" t="s">
        <v>71</v>
      </c>
      <c r="H21" s="319"/>
      <c r="I21" s="319"/>
      <c r="J21" s="319"/>
      <c r="K21" s="319"/>
      <c r="L21" s="319"/>
      <c r="M21" s="319"/>
      <c r="N21" s="320"/>
    </row>
    <row r="22" spans="1:14" x14ac:dyDescent="0.25">
      <c r="A22" s="115">
        <v>538.4</v>
      </c>
      <c r="B22" s="145" t="s">
        <v>33</v>
      </c>
      <c r="C22" s="116">
        <v>14500</v>
      </c>
      <c r="D22" s="265">
        <v>16700</v>
      </c>
      <c r="E22" s="116">
        <f t="shared" si="0"/>
        <v>2200</v>
      </c>
      <c r="F22" s="117">
        <f t="shared" si="1"/>
        <v>15.172413793103448</v>
      </c>
      <c r="G22" s="318" t="s">
        <v>72</v>
      </c>
      <c r="H22" s="319"/>
      <c r="I22" s="319"/>
      <c r="J22" s="319"/>
      <c r="K22" s="319"/>
      <c r="L22" s="319"/>
      <c r="M22" s="319"/>
      <c r="N22" s="320"/>
    </row>
    <row r="23" spans="1:14" x14ac:dyDescent="0.25">
      <c r="A23" s="115">
        <v>538.41</v>
      </c>
      <c r="B23" s="145" t="s">
        <v>34</v>
      </c>
      <c r="C23" s="116">
        <v>9100</v>
      </c>
      <c r="D23" s="116">
        <v>8400</v>
      </c>
      <c r="E23" s="116">
        <f t="shared" si="0"/>
        <v>-700</v>
      </c>
      <c r="F23" s="117">
        <f t="shared" si="1"/>
        <v>-7.6923076923076925</v>
      </c>
      <c r="G23" s="318" t="s">
        <v>73</v>
      </c>
      <c r="H23" s="319"/>
      <c r="I23" s="319"/>
      <c r="J23" s="319"/>
      <c r="K23" s="319"/>
      <c r="L23" s="319"/>
      <c r="M23" s="319"/>
      <c r="N23" s="320"/>
    </row>
    <row r="24" spans="1:14" x14ac:dyDescent="0.25">
      <c r="A24" s="115">
        <v>538.43100000000004</v>
      </c>
      <c r="B24" s="145" t="s">
        <v>35</v>
      </c>
      <c r="C24" s="116">
        <v>2500</v>
      </c>
      <c r="D24" s="116">
        <v>2600</v>
      </c>
      <c r="E24" s="116">
        <f t="shared" si="0"/>
        <v>100</v>
      </c>
      <c r="F24" s="117">
        <f t="shared" si="1"/>
        <v>4</v>
      </c>
      <c r="G24" s="318" t="s">
        <v>74</v>
      </c>
      <c r="H24" s="319"/>
      <c r="I24" s="319"/>
      <c r="J24" s="319"/>
      <c r="K24" s="319"/>
      <c r="L24" s="319"/>
      <c r="M24" s="319"/>
      <c r="N24" s="320"/>
    </row>
    <row r="25" spans="1:14" x14ac:dyDescent="0.25">
      <c r="A25" s="115">
        <v>538.43200000000002</v>
      </c>
      <c r="B25" s="145" t="s">
        <v>36</v>
      </c>
      <c r="C25" s="116">
        <v>13300</v>
      </c>
      <c r="D25" s="116">
        <v>15700</v>
      </c>
      <c r="E25" s="116">
        <f t="shared" si="0"/>
        <v>2400</v>
      </c>
      <c r="F25" s="117">
        <f t="shared" si="1"/>
        <v>18.045112781954884</v>
      </c>
      <c r="G25" s="318" t="s">
        <v>75</v>
      </c>
      <c r="H25" s="319"/>
      <c r="I25" s="319"/>
      <c r="J25" s="319"/>
      <c r="K25" s="319"/>
      <c r="L25" s="319"/>
      <c r="M25" s="319"/>
      <c r="N25" s="320"/>
    </row>
    <row r="26" spans="1:14" x14ac:dyDescent="0.25">
      <c r="A26" s="115">
        <v>538.46100000000001</v>
      </c>
      <c r="B26" s="145" t="s">
        <v>38</v>
      </c>
      <c r="C26" s="116">
        <v>10000</v>
      </c>
      <c r="D26" s="116">
        <v>3300</v>
      </c>
      <c r="E26" s="116">
        <f t="shared" si="0"/>
        <v>-6700</v>
      </c>
      <c r="F26" s="117">
        <f t="shared" si="1"/>
        <v>-67</v>
      </c>
      <c r="G26" s="145" t="s">
        <v>76</v>
      </c>
      <c r="H26" s="145"/>
      <c r="I26" s="145"/>
      <c r="J26" s="145"/>
      <c r="K26" s="145"/>
      <c r="L26" s="145"/>
      <c r="M26" s="145"/>
      <c r="N26" s="145"/>
    </row>
    <row r="27" spans="1:14" x14ac:dyDescent="0.25">
      <c r="A27" s="115">
        <v>538.46199999999999</v>
      </c>
      <c r="B27" s="145" t="s">
        <v>39</v>
      </c>
      <c r="C27" s="116">
        <v>15000</v>
      </c>
      <c r="D27" s="116">
        <v>15000</v>
      </c>
      <c r="E27" s="116">
        <f t="shared" si="0"/>
        <v>0</v>
      </c>
      <c r="F27" s="117">
        <f t="shared" si="1"/>
        <v>0</v>
      </c>
      <c r="G27" s="145" t="s">
        <v>88</v>
      </c>
      <c r="H27" s="145"/>
      <c r="I27" s="145"/>
      <c r="J27" s="145"/>
      <c r="K27" s="145"/>
      <c r="L27" s="145"/>
      <c r="M27" s="145"/>
      <c r="N27" s="145"/>
    </row>
    <row r="28" spans="1:14" x14ac:dyDescent="0.25">
      <c r="A28" s="115">
        <v>538.46299999999997</v>
      </c>
      <c r="B28" s="145" t="s">
        <v>40</v>
      </c>
      <c r="C28" s="116">
        <v>135000</v>
      </c>
      <c r="D28" s="116">
        <v>80000</v>
      </c>
      <c r="E28" s="116">
        <f t="shared" si="0"/>
        <v>-55000</v>
      </c>
      <c r="F28" s="117">
        <f t="shared" si="1"/>
        <v>-40.74074074074074</v>
      </c>
      <c r="G28" s="318" t="s">
        <v>77</v>
      </c>
      <c r="H28" s="319"/>
      <c r="I28" s="319"/>
      <c r="J28" s="319"/>
      <c r="K28" s="319"/>
      <c r="L28" s="319"/>
      <c r="M28" s="319"/>
      <c r="N28" s="320"/>
    </row>
    <row r="29" spans="1:14" x14ac:dyDescent="0.25">
      <c r="A29" s="115">
        <v>538.46400000000006</v>
      </c>
      <c r="B29" s="145" t="s">
        <v>41</v>
      </c>
      <c r="C29" s="116">
        <v>28700</v>
      </c>
      <c r="D29" s="116">
        <v>30000</v>
      </c>
      <c r="E29" s="116">
        <f t="shared" si="0"/>
        <v>1300</v>
      </c>
      <c r="F29" s="117">
        <f t="shared" si="1"/>
        <v>4.529616724738676</v>
      </c>
      <c r="G29" s="318" t="s">
        <v>78</v>
      </c>
      <c r="H29" s="319"/>
      <c r="I29" s="319"/>
      <c r="J29" s="319"/>
      <c r="K29" s="319"/>
      <c r="L29" s="319"/>
      <c r="M29" s="319"/>
      <c r="N29" s="320"/>
    </row>
    <row r="30" spans="1:14" x14ac:dyDescent="0.25">
      <c r="A30" s="115">
        <v>538.46500000000003</v>
      </c>
      <c r="B30" s="145" t="s">
        <v>42</v>
      </c>
      <c r="C30" s="116">
        <v>98100</v>
      </c>
      <c r="D30" s="116">
        <v>75000</v>
      </c>
      <c r="E30" s="116">
        <f t="shared" si="0"/>
        <v>-23100</v>
      </c>
      <c r="F30" s="117">
        <f t="shared" si="1"/>
        <v>-23.547400611620795</v>
      </c>
      <c r="G30" s="318" t="s">
        <v>79</v>
      </c>
      <c r="H30" s="319"/>
      <c r="I30" s="319"/>
      <c r="J30" s="319"/>
      <c r="K30" s="319"/>
      <c r="L30" s="319"/>
      <c r="M30" s="319"/>
      <c r="N30" s="320"/>
    </row>
    <row r="31" spans="1:14" x14ac:dyDescent="0.25">
      <c r="A31" s="115">
        <v>538.46600000000001</v>
      </c>
      <c r="B31" s="145" t="s">
        <v>43</v>
      </c>
      <c r="C31" s="116">
        <v>1300</v>
      </c>
      <c r="D31" s="116">
        <v>2000</v>
      </c>
      <c r="E31" s="116">
        <f t="shared" si="0"/>
        <v>700</v>
      </c>
      <c r="F31" s="117">
        <f t="shared" si="1"/>
        <v>53.846153846153847</v>
      </c>
      <c r="G31" s="318" t="s">
        <v>80</v>
      </c>
      <c r="H31" s="319"/>
      <c r="I31" s="319"/>
      <c r="J31" s="319"/>
      <c r="K31" s="319"/>
      <c r="L31" s="319"/>
      <c r="M31" s="319"/>
      <c r="N31" s="320"/>
    </row>
    <row r="32" spans="1:14" x14ac:dyDescent="0.25">
      <c r="A32" s="115">
        <v>538.46699999999998</v>
      </c>
      <c r="B32" s="145" t="s">
        <v>44</v>
      </c>
      <c r="C32" s="116">
        <v>1200</v>
      </c>
      <c r="D32" s="116">
        <v>9900</v>
      </c>
      <c r="E32" s="116">
        <f t="shared" si="0"/>
        <v>8700</v>
      </c>
      <c r="F32" s="117">
        <f t="shared" si="1"/>
        <v>725</v>
      </c>
      <c r="G32" s="318" t="s">
        <v>87</v>
      </c>
      <c r="H32" s="319"/>
      <c r="I32" s="319"/>
      <c r="J32" s="319"/>
      <c r="K32" s="319"/>
      <c r="L32" s="319"/>
      <c r="M32" s="319"/>
      <c r="N32" s="320"/>
    </row>
    <row r="33" spans="1:14" x14ac:dyDescent="0.25">
      <c r="A33" s="115">
        <v>538.49199999999996</v>
      </c>
      <c r="B33" s="145" t="s">
        <v>114</v>
      </c>
      <c r="C33" s="116">
        <v>1500</v>
      </c>
      <c r="D33" s="116">
        <v>500</v>
      </c>
      <c r="E33" s="116">
        <f t="shared" si="0"/>
        <v>-1000</v>
      </c>
      <c r="F33" s="117">
        <f t="shared" si="1"/>
        <v>-66.666666666666657</v>
      </c>
      <c r="G33" s="318" t="s">
        <v>82</v>
      </c>
      <c r="H33" s="319"/>
      <c r="I33" s="319"/>
      <c r="J33" s="319"/>
      <c r="K33" s="319"/>
      <c r="L33" s="319"/>
      <c r="M33" s="319"/>
      <c r="N33" s="320"/>
    </row>
    <row r="34" spans="1:14" x14ac:dyDescent="0.25">
      <c r="A34" s="115">
        <v>538.5</v>
      </c>
      <c r="B34" s="145" t="s">
        <v>45</v>
      </c>
      <c r="C34" s="116">
        <v>300</v>
      </c>
      <c r="D34" s="116">
        <v>300</v>
      </c>
      <c r="E34" s="116">
        <f t="shared" si="0"/>
        <v>0</v>
      </c>
      <c r="F34" s="117">
        <f t="shared" si="1"/>
        <v>0</v>
      </c>
      <c r="G34" s="318" t="s">
        <v>81</v>
      </c>
      <c r="H34" s="319"/>
      <c r="I34" s="319"/>
      <c r="J34" s="319"/>
      <c r="K34" s="319"/>
      <c r="L34" s="319"/>
      <c r="M34" s="319"/>
      <c r="N34" s="320"/>
    </row>
    <row r="35" spans="1:14" x14ac:dyDescent="0.25">
      <c r="A35" s="115">
        <v>538.51</v>
      </c>
      <c r="B35" s="145" t="s">
        <v>46</v>
      </c>
      <c r="C35" s="116">
        <v>8000</v>
      </c>
      <c r="D35" s="116">
        <v>6400</v>
      </c>
      <c r="E35" s="116">
        <f t="shared" si="0"/>
        <v>-1600</v>
      </c>
      <c r="F35" s="117">
        <f t="shared" si="1"/>
        <v>-20</v>
      </c>
      <c r="G35" s="318" t="s">
        <v>83</v>
      </c>
      <c r="H35" s="319"/>
      <c r="I35" s="319"/>
      <c r="J35" s="319"/>
      <c r="K35" s="319"/>
      <c r="L35" s="319"/>
      <c r="M35" s="319"/>
      <c r="N35" s="320"/>
    </row>
    <row r="36" spans="1:14" x14ac:dyDescent="0.25">
      <c r="A36" s="115">
        <v>538.52099999999996</v>
      </c>
      <c r="B36" s="145" t="s">
        <v>47</v>
      </c>
      <c r="C36" s="116">
        <v>20500</v>
      </c>
      <c r="D36" s="116">
        <v>20500</v>
      </c>
      <c r="E36" s="116">
        <f t="shared" si="0"/>
        <v>0</v>
      </c>
      <c r="F36" s="117">
        <f t="shared" si="1"/>
        <v>0</v>
      </c>
      <c r="G36" s="318" t="s">
        <v>84</v>
      </c>
      <c r="H36" s="319"/>
      <c r="I36" s="319"/>
      <c r="J36" s="319"/>
      <c r="K36" s="319"/>
      <c r="L36" s="319"/>
      <c r="M36" s="319"/>
      <c r="N36" s="320"/>
    </row>
    <row r="37" spans="1:14" x14ac:dyDescent="0.25">
      <c r="A37" s="115">
        <v>538.52200000000005</v>
      </c>
      <c r="B37" s="145" t="s">
        <v>48</v>
      </c>
      <c r="C37" s="116">
        <v>35000</v>
      </c>
      <c r="D37" s="116">
        <v>35000</v>
      </c>
      <c r="E37" s="116">
        <f t="shared" si="0"/>
        <v>0</v>
      </c>
      <c r="F37" s="117">
        <f t="shared" si="1"/>
        <v>0</v>
      </c>
      <c r="G37" s="145" t="s">
        <v>85</v>
      </c>
      <c r="H37" s="145"/>
      <c r="I37" s="145"/>
      <c r="J37" s="145"/>
      <c r="K37" s="145"/>
      <c r="L37" s="145"/>
      <c r="M37" s="145"/>
      <c r="N37" s="145"/>
    </row>
    <row r="38" spans="1:14" x14ac:dyDescent="0.25">
      <c r="A38" s="115">
        <v>538.52300000000002</v>
      </c>
      <c r="B38" s="145" t="s">
        <v>49</v>
      </c>
      <c r="C38" s="116">
        <v>3500</v>
      </c>
      <c r="D38" s="116">
        <v>4500</v>
      </c>
      <c r="E38" s="116">
        <f t="shared" si="0"/>
        <v>1000</v>
      </c>
      <c r="F38" s="117">
        <f t="shared" si="1"/>
        <v>28.571428571428569</v>
      </c>
      <c r="G38" s="318" t="s">
        <v>86</v>
      </c>
      <c r="H38" s="319"/>
      <c r="I38" s="319"/>
      <c r="J38" s="319"/>
      <c r="K38" s="319"/>
      <c r="L38" s="319"/>
      <c r="M38" s="319"/>
      <c r="N38" s="320"/>
    </row>
    <row r="39" spans="1:14" x14ac:dyDescent="0.25">
      <c r="A39" s="115">
        <v>538.52499999999998</v>
      </c>
      <c r="B39" s="145" t="s">
        <v>130</v>
      </c>
      <c r="C39" s="116">
        <v>6000</v>
      </c>
      <c r="D39" s="116">
        <v>6000</v>
      </c>
      <c r="E39" s="116">
        <f t="shared" si="0"/>
        <v>0</v>
      </c>
      <c r="F39" s="117" t="s">
        <v>121</v>
      </c>
      <c r="G39" s="318" t="s">
        <v>89</v>
      </c>
      <c r="H39" s="319"/>
      <c r="I39" s="319"/>
      <c r="J39" s="319"/>
      <c r="K39" s="319"/>
      <c r="L39" s="319"/>
      <c r="M39" s="319"/>
      <c r="N39" s="320"/>
    </row>
    <row r="40" spans="1:14" x14ac:dyDescent="0.25">
      <c r="A40" s="115">
        <v>538.54</v>
      </c>
      <c r="B40" s="145" t="s">
        <v>61</v>
      </c>
      <c r="C40" s="116">
        <v>3500</v>
      </c>
      <c r="D40" s="265">
        <v>3800</v>
      </c>
      <c r="E40" s="116">
        <f t="shared" si="0"/>
        <v>300</v>
      </c>
      <c r="F40" s="117">
        <f t="shared" si="1"/>
        <v>8.5714285714285712</v>
      </c>
      <c r="G40" s="145" t="s">
        <v>90</v>
      </c>
      <c r="H40" s="145"/>
      <c r="I40" s="145"/>
      <c r="J40" s="145"/>
      <c r="K40" s="145"/>
      <c r="L40" s="145"/>
      <c r="M40" s="145"/>
      <c r="N40" s="145"/>
    </row>
    <row r="41" spans="1:14" x14ac:dyDescent="0.25">
      <c r="A41" s="115">
        <v>538.54499999999996</v>
      </c>
      <c r="B41" s="145" t="s">
        <v>131</v>
      </c>
      <c r="C41" s="116">
        <v>100</v>
      </c>
      <c r="D41" s="116">
        <v>100</v>
      </c>
      <c r="E41" s="116">
        <f t="shared" si="0"/>
        <v>0</v>
      </c>
      <c r="F41" s="117">
        <f t="shared" si="1"/>
        <v>0</v>
      </c>
      <c r="G41" s="318" t="s">
        <v>91</v>
      </c>
      <c r="H41" s="319"/>
      <c r="I41" s="319"/>
      <c r="J41" s="319"/>
      <c r="K41" s="319"/>
      <c r="L41" s="319"/>
      <c r="M41" s="319"/>
      <c r="N41" s="320"/>
    </row>
    <row r="42" spans="1:14" x14ac:dyDescent="0.25">
      <c r="A42" s="115">
        <v>538.64</v>
      </c>
      <c r="B42" s="145" t="s">
        <v>50</v>
      </c>
      <c r="C42" s="116">
        <v>320000</v>
      </c>
      <c r="D42" s="265">
        <v>318400</v>
      </c>
      <c r="E42" s="116">
        <f t="shared" si="0"/>
        <v>-1600</v>
      </c>
      <c r="F42" s="117">
        <f t="shared" si="1"/>
        <v>-0.5</v>
      </c>
      <c r="G42" s="318" t="s">
        <v>92</v>
      </c>
      <c r="H42" s="319"/>
      <c r="I42" s="319"/>
      <c r="J42" s="319"/>
      <c r="K42" s="319"/>
      <c r="L42" s="319"/>
      <c r="M42" s="319"/>
      <c r="N42" s="320"/>
    </row>
    <row r="43" spans="1:14" x14ac:dyDescent="0.25">
      <c r="A43" s="150"/>
      <c r="B43" s="89" t="s">
        <v>51</v>
      </c>
      <c r="C43" s="118">
        <f>SUM(C5:C42)</f>
        <v>1772700</v>
      </c>
      <c r="D43" s="118">
        <f>SUM(D5:D42)</f>
        <v>1772700</v>
      </c>
      <c r="E43" s="119">
        <f>SUM(E5:E42)</f>
        <v>0</v>
      </c>
      <c r="F43" s="120">
        <f>E43/C43*100</f>
        <v>0</v>
      </c>
      <c r="G43" s="121"/>
      <c r="H43" s="121"/>
      <c r="I43" s="121"/>
      <c r="J43" s="121"/>
      <c r="K43" s="121"/>
      <c r="L43" s="121"/>
      <c r="M43" s="121"/>
      <c r="N43" s="121"/>
    </row>
    <row r="44" spans="1:14" x14ac:dyDescent="0.25">
      <c r="A44" s="150"/>
      <c r="B44" s="89"/>
      <c r="C44" s="118"/>
      <c r="D44" s="118"/>
      <c r="E44" s="119"/>
      <c r="F44" s="120"/>
      <c r="G44" s="121"/>
      <c r="H44" s="121"/>
      <c r="I44" s="121"/>
      <c r="J44" s="121"/>
      <c r="K44" s="121"/>
      <c r="L44" s="121"/>
      <c r="M44" s="121"/>
      <c r="N44" s="121"/>
    </row>
    <row r="45" spans="1:14" x14ac:dyDescent="0.25">
      <c r="B45" s="269" t="s">
        <v>390</v>
      </c>
      <c r="C45" s="154"/>
      <c r="D45" s="270"/>
      <c r="E45" s="119"/>
      <c r="F45" s="120"/>
      <c r="G45" s="121"/>
      <c r="H45" s="121"/>
      <c r="I45" s="121"/>
      <c r="J45" s="121"/>
      <c r="K45" s="121"/>
      <c r="L45" s="121"/>
      <c r="M45" s="121"/>
      <c r="N45" s="121"/>
    </row>
    <row r="46" spans="1:14" x14ac:dyDescent="0.25">
      <c r="A46" s="85"/>
      <c r="B46" s="271"/>
      <c r="C46" s="272"/>
      <c r="D46" s="272"/>
      <c r="E46" s="87"/>
    </row>
    <row r="47" spans="1:14" x14ac:dyDescent="0.25">
      <c r="A47" s="85"/>
      <c r="B47" s="266" t="s">
        <v>393</v>
      </c>
      <c r="C47" s="154"/>
      <c r="D47" s="154"/>
    </row>
    <row r="48" spans="1:14" x14ac:dyDescent="0.25">
      <c r="A48" s="85"/>
      <c r="B48" s="266"/>
      <c r="C48" s="154"/>
      <c r="D48" s="154"/>
    </row>
    <row r="49" spans="1:14" x14ac:dyDescent="0.25">
      <c r="A49" s="85"/>
      <c r="B49" s="266" t="s">
        <v>385</v>
      </c>
      <c r="C49" s="267"/>
      <c r="D49" s="267"/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1:14" x14ac:dyDescent="0.25">
      <c r="A50" s="85"/>
      <c r="B50" s="266"/>
      <c r="C50" s="267"/>
      <c r="D50" s="267"/>
      <c r="E50" s="190"/>
      <c r="F50" s="190"/>
      <c r="G50" s="190"/>
      <c r="H50" s="190"/>
      <c r="I50" s="190"/>
      <c r="J50" s="190"/>
      <c r="K50" s="190"/>
      <c r="L50" s="190"/>
      <c r="M50" s="190"/>
      <c r="N50" s="190"/>
    </row>
    <row r="51" spans="1:14" x14ac:dyDescent="0.25">
      <c r="A51" s="85"/>
      <c r="B51" s="266" t="s">
        <v>400</v>
      </c>
      <c r="C51" s="267"/>
      <c r="D51" s="267"/>
      <c r="E51" s="190"/>
      <c r="F51" s="190"/>
      <c r="G51" s="190"/>
      <c r="H51" s="190"/>
      <c r="I51" s="190"/>
      <c r="J51" s="190"/>
      <c r="K51" s="190"/>
      <c r="L51" s="190"/>
      <c r="M51" s="190"/>
      <c r="N51" s="190"/>
    </row>
    <row r="52" spans="1:14" x14ac:dyDescent="0.25">
      <c r="A52" s="85"/>
      <c r="B52" s="266"/>
      <c r="C52" s="267"/>
      <c r="D52" s="267"/>
      <c r="E52" s="190"/>
      <c r="F52" s="190"/>
      <c r="G52" s="190"/>
      <c r="H52" s="190"/>
      <c r="I52" s="190"/>
      <c r="J52" s="190"/>
      <c r="K52" s="190"/>
      <c r="L52" s="190"/>
      <c r="M52" s="190"/>
      <c r="N52" s="190"/>
    </row>
    <row r="53" spans="1:14" x14ac:dyDescent="0.25">
      <c r="A53" s="85"/>
      <c r="B53" s="266" t="s">
        <v>398</v>
      </c>
      <c r="C53" s="267"/>
      <c r="D53" s="267"/>
      <c r="E53" s="190"/>
      <c r="F53" s="190"/>
      <c r="G53" s="190"/>
      <c r="H53" s="190"/>
      <c r="I53" s="190"/>
      <c r="J53" s="190"/>
      <c r="K53" s="190"/>
      <c r="L53" s="190"/>
      <c r="M53" s="190"/>
      <c r="N53" s="190"/>
    </row>
    <row r="54" spans="1:14" x14ac:dyDescent="0.25">
      <c r="B54" s="316"/>
      <c r="C54" s="317"/>
      <c r="D54" s="268"/>
      <c r="E54" s="144"/>
      <c r="F54" s="144"/>
      <c r="G54" s="144"/>
      <c r="H54" s="144"/>
      <c r="I54" s="144"/>
      <c r="J54" s="144"/>
      <c r="K54" s="144"/>
      <c r="L54" s="144"/>
      <c r="M54" s="144"/>
      <c r="N54" s="144"/>
    </row>
    <row r="55" spans="1:14" x14ac:dyDescent="0.25">
      <c r="B55" s="267" t="s">
        <v>412</v>
      </c>
      <c r="C55" s="267"/>
      <c r="D55" s="267"/>
      <c r="E55" s="190"/>
      <c r="F55" s="190"/>
      <c r="G55" s="190"/>
      <c r="H55" s="190"/>
      <c r="I55" s="190"/>
      <c r="J55" s="190"/>
      <c r="K55" s="190"/>
      <c r="L55" s="190"/>
      <c r="M55" s="190"/>
      <c r="N55" s="190"/>
    </row>
    <row r="56" spans="1:14" x14ac:dyDescent="0.25">
      <c r="B56" s="267"/>
      <c r="C56" s="267"/>
      <c r="D56" s="267"/>
      <c r="E56" s="190"/>
      <c r="F56" s="190"/>
      <c r="G56" s="190"/>
      <c r="H56" s="190"/>
      <c r="I56" s="190"/>
      <c r="J56" s="190"/>
      <c r="K56" s="190"/>
      <c r="L56" s="190"/>
      <c r="M56" s="190"/>
      <c r="N56" s="190"/>
    </row>
    <row r="57" spans="1:14" x14ac:dyDescent="0.25">
      <c r="B57" s="277" t="s">
        <v>406</v>
      </c>
      <c r="C57" s="154"/>
      <c r="D57" s="154"/>
    </row>
    <row r="58" spans="1:14" x14ac:dyDescent="0.25">
      <c r="B58" s="277"/>
      <c r="C58" s="154"/>
      <c r="D58" s="279"/>
      <c r="E58" s="190"/>
      <c r="F58" s="190"/>
      <c r="G58" s="190"/>
      <c r="H58" s="190"/>
      <c r="I58" s="190"/>
      <c r="J58" s="190"/>
      <c r="K58" s="190"/>
      <c r="L58" s="190"/>
      <c r="M58" s="190"/>
      <c r="N58" s="190"/>
    </row>
    <row r="59" spans="1:14" x14ac:dyDescent="0.25">
      <c r="B59" s="277" t="s">
        <v>407</v>
      </c>
      <c r="C59" s="154"/>
      <c r="D59" s="154"/>
    </row>
    <row r="60" spans="1:14" x14ac:dyDescent="0.25">
      <c r="B60" s="50"/>
      <c r="D60" s="321"/>
      <c r="E60" s="305"/>
      <c r="F60" s="305"/>
      <c r="G60" s="305"/>
      <c r="H60" s="305"/>
      <c r="I60" s="305"/>
      <c r="J60" s="305"/>
      <c r="K60" s="305"/>
      <c r="L60" s="305"/>
      <c r="M60" s="305"/>
      <c r="N60" s="305"/>
    </row>
    <row r="61" spans="1:14" x14ac:dyDescent="0.25">
      <c r="B61" s="50"/>
    </row>
    <row r="62" spans="1:14" x14ac:dyDescent="0.25">
      <c r="B62" s="50"/>
    </row>
    <row r="63" spans="1:14" x14ac:dyDescent="0.25">
      <c r="B63" s="50"/>
    </row>
    <row r="64" spans="1:14" x14ac:dyDescent="0.25">
      <c r="B64" s="50"/>
    </row>
    <row r="65" spans="2:2" x14ac:dyDescent="0.25">
      <c r="B65" s="50"/>
    </row>
  </sheetData>
  <mergeCells count="35">
    <mergeCell ref="G29:N29"/>
    <mergeCell ref="G30:N30"/>
    <mergeCell ref="G31:N31"/>
    <mergeCell ref="G32:N32"/>
    <mergeCell ref="G3:N3"/>
    <mergeCell ref="G22:N22"/>
    <mergeCell ref="G23:N23"/>
    <mergeCell ref="G24:N24"/>
    <mergeCell ref="G25:N25"/>
    <mergeCell ref="G19:N19"/>
    <mergeCell ref="G6:N6"/>
    <mergeCell ref="G5:N5"/>
    <mergeCell ref="G12:N12"/>
    <mergeCell ref="D60:N60"/>
    <mergeCell ref="G8:N8"/>
    <mergeCell ref="G9:N9"/>
    <mergeCell ref="G10:N10"/>
    <mergeCell ref="G11:N11"/>
    <mergeCell ref="G13:N13"/>
    <mergeCell ref="G14:N14"/>
    <mergeCell ref="G15:N15"/>
    <mergeCell ref="G17:N17"/>
    <mergeCell ref="G18:N18"/>
    <mergeCell ref="G20:N20"/>
    <mergeCell ref="G21:N21"/>
    <mergeCell ref="G41:N41"/>
    <mergeCell ref="G42:N42"/>
    <mergeCell ref="G33:N33"/>
    <mergeCell ref="G28:N28"/>
    <mergeCell ref="B54:C54"/>
    <mergeCell ref="G34:N34"/>
    <mergeCell ref="G35:N35"/>
    <mergeCell ref="G36:N36"/>
    <mergeCell ref="G38:N38"/>
    <mergeCell ref="G39:N39"/>
  </mergeCells>
  <pageMargins left="0.25" right="0.25" top="0.75" bottom="0.75" header="0.3" footer="0.3"/>
  <pageSetup paperSize="5" orientation="landscape" r:id="rId1"/>
  <headerFooter>
    <oddHeader xml:space="preserve">&amp;C&amp;"-,Bold"
OPWCD DRAFT EXPENSE BUDGET FOR FY2024/2025      </oddHeader>
    <oddFooter>&amp;CPage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61F0-19FE-4086-AF2F-85A8EAEA36BB}">
  <dimension ref="A2:P43"/>
  <sheetViews>
    <sheetView view="pageLayout" zoomScaleNormal="100" workbookViewId="0">
      <selection activeCell="M20" sqref="M20"/>
    </sheetView>
  </sheetViews>
  <sheetFormatPr defaultRowHeight="15" x14ac:dyDescent="0.25"/>
  <cols>
    <col min="1" max="1" width="11.140625" customWidth="1"/>
    <col min="5" max="5" width="9.42578125" customWidth="1"/>
    <col min="6" max="6" width="14.42578125" customWidth="1"/>
    <col min="7" max="7" width="4.28515625" customWidth="1"/>
    <col min="8" max="8" width="14.140625" customWidth="1"/>
    <col min="9" max="9" width="14" customWidth="1"/>
    <col min="11" max="15" width="9.140625" customWidth="1"/>
    <col min="16" max="16" width="10" customWidth="1"/>
  </cols>
  <sheetData>
    <row r="2" spans="1:16" x14ac:dyDescent="0.25">
      <c r="F2" s="262" t="s">
        <v>127</v>
      </c>
      <c r="G2" s="262"/>
      <c r="H2" s="262" t="s">
        <v>128</v>
      </c>
    </row>
    <row r="3" spans="1:16" x14ac:dyDescent="0.25">
      <c r="A3" s="148" t="s">
        <v>93</v>
      </c>
      <c r="B3" s="264" t="s">
        <v>94</v>
      </c>
      <c r="C3" s="264"/>
      <c r="D3" s="260"/>
      <c r="E3" s="260"/>
      <c r="F3" s="148" t="s">
        <v>159</v>
      </c>
      <c r="G3" s="148"/>
      <c r="H3" s="148" t="s">
        <v>235</v>
      </c>
      <c r="I3" s="55" t="s">
        <v>103</v>
      </c>
      <c r="J3" s="55" t="s">
        <v>104</v>
      </c>
      <c r="K3" s="298" t="s">
        <v>105</v>
      </c>
      <c r="L3" s="298"/>
      <c r="M3" s="298"/>
      <c r="N3" s="298"/>
      <c r="O3" s="298"/>
      <c r="P3" s="298"/>
    </row>
    <row r="4" spans="1:16" x14ac:dyDescent="0.25">
      <c r="A4" s="143"/>
      <c r="B4" s="149"/>
      <c r="C4" s="149"/>
      <c r="D4" s="149"/>
      <c r="E4" s="149"/>
      <c r="F4" s="87"/>
      <c r="G4" s="87"/>
      <c r="H4" s="87"/>
      <c r="I4" s="87"/>
      <c r="J4" s="87"/>
      <c r="K4" s="330"/>
      <c r="L4" s="330"/>
      <c r="M4" s="330"/>
      <c r="N4" s="330"/>
      <c r="O4" s="330"/>
      <c r="P4" s="330"/>
    </row>
    <row r="5" spans="1:16" x14ac:dyDescent="0.25">
      <c r="A5" s="143">
        <v>329</v>
      </c>
      <c r="B5" s="155" t="s">
        <v>95</v>
      </c>
      <c r="C5" s="155"/>
      <c r="D5" s="155"/>
      <c r="E5" s="155"/>
      <c r="F5" s="261">
        <v>30000</v>
      </c>
      <c r="G5" s="261"/>
      <c r="H5" s="261">
        <v>30000</v>
      </c>
      <c r="I5" s="147">
        <f t="shared" ref="I5:I13" si="0">H5-F5</f>
        <v>0</v>
      </c>
      <c r="J5" s="86">
        <f>I5/F5*100</f>
        <v>0</v>
      </c>
      <c r="K5" s="330" t="s">
        <v>106</v>
      </c>
      <c r="L5" s="330"/>
      <c r="M5" s="330"/>
      <c r="N5" s="330"/>
      <c r="O5" s="330"/>
      <c r="P5" s="330"/>
    </row>
    <row r="6" spans="1:16" x14ac:dyDescent="0.25">
      <c r="A6" s="143">
        <v>343.9</v>
      </c>
      <c r="B6" s="155" t="s">
        <v>96</v>
      </c>
      <c r="C6" s="155"/>
      <c r="D6" s="155"/>
      <c r="E6" s="155"/>
      <c r="F6" s="261">
        <v>30000</v>
      </c>
      <c r="G6" s="261"/>
      <c r="H6" s="261">
        <v>0</v>
      </c>
      <c r="I6" s="147">
        <f t="shared" si="0"/>
        <v>-30000</v>
      </c>
      <c r="J6" s="86">
        <f>I6/F6*100</f>
        <v>-100</v>
      </c>
      <c r="K6" s="330" t="s">
        <v>336</v>
      </c>
      <c r="L6" s="330"/>
      <c r="M6" s="330"/>
      <c r="N6" s="330"/>
      <c r="O6" s="330"/>
      <c r="P6" s="330"/>
    </row>
    <row r="7" spans="1:16" x14ac:dyDescent="0.25">
      <c r="A7" s="143">
        <v>361.1</v>
      </c>
      <c r="B7" s="155" t="s">
        <v>97</v>
      </c>
      <c r="C7" s="155"/>
      <c r="D7" s="155"/>
      <c r="E7" s="155"/>
      <c r="F7" s="261">
        <v>90000</v>
      </c>
      <c r="G7" s="261"/>
      <c r="H7" s="261">
        <v>92950</v>
      </c>
      <c r="I7" s="147">
        <f t="shared" si="0"/>
        <v>2950</v>
      </c>
      <c r="J7" s="86">
        <f>I7/F7*100</f>
        <v>3.2777777777777781</v>
      </c>
      <c r="K7" s="330" t="s">
        <v>203</v>
      </c>
      <c r="L7" s="330"/>
      <c r="M7" s="330"/>
      <c r="N7" s="330"/>
      <c r="O7" s="330"/>
      <c r="P7" s="330"/>
    </row>
    <row r="8" spans="1:16" x14ac:dyDescent="0.25">
      <c r="A8" s="143">
        <v>361.2</v>
      </c>
      <c r="B8" s="155" t="s">
        <v>100</v>
      </c>
      <c r="C8" s="155"/>
      <c r="D8" s="155"/>
      <c r="E8" s="155"/>
      <c r="F8" s="261">
        <v>0</v>
      </c>
      <c r="G8" s="261"/>
      <c r="H8" s="261">
        <v>0</v>
      </c>
      <c r="I8" s="147">
        <f t="shared" si="0"/>
        <v>0</v>
      </c>
      <c r="J8" s="86">
        <v>0</v>
      </c>
      <c r="K8" s="330" t="s">
        <v>107</v>
      </c>
      <c r="L8" s="330"/>
      <c r="M8" s="330"/>
      <c r="N8" s="330"/>
      <c r="O8" s="330"/>
      <c r="P8" s="330"/>
    </row>
    <row r="9" spans="1:16" x14ac:dyDescent="0.25">
      <c r="A9" s="143">
        <v>362</v>
      </c>
      <c r="B9" s="155" t="s">
        <v>98</v>
      </c>
      <c r="C9" s="155"/>
      <c r="D9" s="155"/>
      <c r="E9" s="155"/>
      <c r="F9" s="261">
        <v>58100</v>
      </c>
      <c r="G9" s="261"/>
      <c r="H9" s="276">
        <v>62200</v>
      </c>
      <c r="I9" s="147">
        <f t="shared" si="0"/>
        <v>4100</v>
      </c>
      <c r="J9" s="86">
        <f>I9/F9*100</f>
        <v>7.056798623063683</v>
      </c>
      <c r="K9" s="330" t="s">
        <v>108</v>
      </c>
      <c r="L9" s="330"/>
      <c r="M9" s="330"/>
      <c r="N9" s="330"/>
      <c r="O9" s="330"/>
      <c r="P9" s="330"/>
    </row>
    <row r="10" spans="1:16" x14ac:dyDescent="0.25">
      <c r="A10" s="143">
        <v>363.1</v>
      </c>
      <c r="B10" s="155" t="s">
        <v>99</v>
      </c>
      <c r="C10" s="155"/>
      <c r="D10" s="155"/>
      <c r="E10" s="155"/>
      <c r="F10" s="261">
        <v>1185284</v>
      </c>
      <c r="G10" s="261"/>
      <c r="H10" s="261">
        <f>G18</f>
        <v>1184850</v>
      </c>
      <c r="I10" s="147">
        <f t="shared" si="0"/>
        <v>-434</v>
      </c>
      <c r="J10" s="86">
        <f>I10/F10*100</f>
        <v>-3.661569716624876E-2</v>
      </c>
      <c r="K10" s="330" t="s">
        <v>109</v>
      </c>
      <c r="L10" s="330"/>
      <c r="M10" s="330"/>
      <c r="N10" s="330"/>
      <c r="O10" s="330"/>
      <c r="P10" s="330"/>
    </row>
    <row r="11" spans="1:16" x14ac:dyDescent="0.25">
      <c r="A11" s="143">
        <v>364</v>
      </c>
      <c r="B11" s="155" t="s">
        <v>101</v>
      </c>
      <c r="C11" s="155"/>
      <c r="D11" s="155"/>
      <c r="E11" s="155"/>
      <c r="F11" s="261">
        <v>0</v>
      </c>
      <c r="G11" s="261"/>
      <c r="H11" s="261">
        <v>0</v>
      </c>
      <c r="I11" s="147">
        <f t="shared" si="0"/>
        <v>0</v>
      </c>
      <c r="J11" s="86">
        <v>0</v>
      </c>
      <c r="K11" s="330" t="s">
        <v>110</v>
      </c>
      <c r="L11" s="330"/>
      <c r="M11" s="330"/>
      <c r="N11" s="330"/>
      <c r="O11" s="330"/>
      <c r="P11" s="330"/>
    </row>
    <row r="12" spans="1:16" x14ac:dyDescent="0.25">
      <c r="A12" s="143">
        <v>369</v>
      </c>
      <c r="B12" s="155" t="s">
        <v>102</v>
      </c>
      <c r="C12" s="155"/>
      <c r="D12" s="155"/>
      <c r="E12" s="155"/>
      <c r="F12" s="261">
        <v>500</v>
      </c>
      <c r="G12" s="261"/>
      <c r="H12" s="261">
        <v>500</v>
      </c>
      <c r="I12" s="147">
        <f t="shared" si="0"/>
        <v>0</v>
      </c>
      <c r="J12" s="86">
        <f>I12/F12*100</f>
        <v>0</v>
      </c>
      <c r="K12" s="330" t="s">
        <v>111</v>
      </c>
      <c r="L12" s="330"/>
      <c r="M12" s="330"/>
      <c r="N12" s="330"/>
      <c r="O12" s="330"/>
      <c r="P12" s="330"/>
    </row>
    <row r="13" spans="1:16" x14ac:dyDescent="0.25">
      <c r="A13" s="143">
        <v>389.9</v>
      </c>
      <c r="B13" s="155" t="s">
        <v>115</v>
      </c>
      <c r="C13" s="155"/>
      <c r="D13" s="155"/>
      <c r="E13" s="155"/>
      <c r="F13" s="261">
        <v>378816</v>
      </c>
      <c r="G13" s="261"/>
      <c r="H13" s="276">
        <v>402200</v>
      </c>
      <c r="I13" s="147">
        <f t="shared" si="0"/>
        <v>23384</v>
      </c>
      <c r="J13" s="86">
        <f>I13/F13*100</f>
        <v>6.1729177225882754</v>
      </c>
      <c r="K13" s="335" t="s">
        <v>202</v>
      </c>
      <c r="L13" s="335"/>
      <c r="M13" s="335"/>
      <c r="N13" s="335"/>
      <c r="O13" s="335"/>
      <c r="P13" s="335"/>
    </row>
    <row r="14" spans="1:16" x14ac:dyDescent="0.25">
      <c r="A14" s="54"/>
      <c r="B14" s="260" t="s">
        <v>51</v>
      </c>
      <c r="C14" s="260"/>
      <c r="D14" s="260"/>
      <c r="E14" s="260"/>
      <c r="F14" s="152">
        <f>SUM(F5:G13)</f>
        <v>1772700</v>
      </c>
      <c r="G14" s="152"/>
      <c r="H14" s="263">
        <f>SUM(H5:H13)</f>
        <v>1772700</v>
      </c>
      <c r="I14" s="152">
        <f>SUM(I5:I13)</f>
        <v>0</v>
      </c>
      <c r="J14" s="153">
        <f>I14/F14*100</f>
        <v>0</v>
      </c>
    </row>
    <row r="15" spans="1:16" x14ac:dyDescent="0.25">
      <c r="A15" s="54"/>
    </row>
    <row r="16" spans="1:16" x14ac:dyDescent="0.25">
      <c r="A16" s="54"/>
      <c r="B16" t="s">
        <v>337</v>
      </c>
      <c r="G16" s="328">
        <v>1772700</v>
      </c>
      <c r="H16" s="328"/>
      <c r="I16" s="288"/>
      <c r="J16" s="288"/>
      <c r="K16" s="288"/>
      <c r="L16" s="288"/>
      <c r="M16" s="288"/>
      <c r="N16" s="288"/>
      <c r="O16" s="288"/>
      <c r="P16" s="288"/>
    </row>
    <row r="17" spans="1:16" x14ac:dyDescent="0.25">
      <c r="A17" s="54"/>
      <c r="B17" t="s">
        <v>338</v>
      </c>
      <c r="G17" s="328">
        <f>SUM(H5:H9,H11:H13)</f>
        <v>587850</v>
      </c>
      <c r="H17" s="328"/>
      <c r="J17" s="286"/>
      <c r="K17" s="286"/>
      <c r="L17" s="286"/>
      <c r="M17" s="286"/>
      <c r="N17" s="286"/>
      <c r="O17" s="286"/>
      <c r="P17" s="286"/>
    </row>
    <row r="18" spans="1:16" x14ac:dyDescent="0.25">
      <c r="A18" s="54"/>
      <c r="B18" t="s">
        <v>339</v>
      </c>
      <c r="G18" s="328">
        <f>G16-G17</f>
        <v>1184850</v>
      </c>
      <c r="H18" s="328"/>
      <c r="I18" s="109"/>
      <c r="J18" s="286"/>
      <c r="K18" s="286"/>
      <c r="L18" s="286"/>
      <c r="M18" s="286"/>
      <c r="N18" s="286"/>
      <c r="O18" s="286"/>
      <c r="P18" s="286"/>
    </row>
    <row r="19" spans="1:16" x14ac:dyDescent="0.25">
      <c r="A19" s="54"/>
      <c r="B19" t="s">
        <v>340</v>
      </c>
      <c r="G19" s="328">
        <f>G18/0.96</f>
        <v>1234218.75</v>
      </c>
      <c r="H19" s="328"/>
    </row>
    <row r="20" spans="1:16" x14ac:dyDescent="0.25">
      <c r="A20" s="54"/>
      <c r="B20" t="s">
        <v>382</v>
      </c>
      <c r="G20" s="329">
        <v>6002.53</v>
      </c>
      <c r="H20" s="329"/>
      <c r="J20" s="50"/>
      <c r="K20" s="50"/>
      <c r="L20" s="50"/>
      <c r="M20" s="50"/>
      <c r="N20" s="50"/>
      <c r="O20" s="50"/>
      <c r="P20" s="50"/>
    </row>
    <row r="21" spans="1:16" x14ac:dyDescent="0.25">
      <c r="I21" s="288"/>
      <c r="J21" s="288"/>
      <c r="K21" s="288"/>
      <c r="L21" s="288"/>
      <c r="M21" s="288"/>
      <c r="N21" s="288"/>
      <c r="O21" s="288"/>
      <c r="P21" s="288"/>
    </row>
    <row r="22" spans="1:16" x14ac:dyDescent="0.25">
      <c r="B22" s="124" t="s">
        <v>341</v>
      </c>
      <c r="C22" s="124"/>
      <c r="D22" s="124"/>
      <c r="E22" s="124"/>
      <c r="F22" s="124"/>
      <c r="G22" s="327">
        <f>G19/G20</f>
        <v>205.61642340812958</v>
      </c>
      <c r="H22" s="327"/>
      <c r="I22" s="286"/>
      <c r="J22" s="286"/>
      <c r="K22" s="286"/>
      <c r="L22" s="286"/>
      <c r="M22" s="286"/>
      <c r="N22" s="286"/>
      <c r="O22" s="286"/>
      <c r="P22" s="286"/>
    </row>
    <row r="23" spans="1:16" x14ac:dyDescent="0.25">
      <c r="B23" s="121" t="s">
        <v>380</v>
      </c>
      <c r="C23" s="121"/>
      <c r="D23" s="121"/>
      <c r="E23" s="121"/>
      <c r="F23" s="121"/>
      <c r="G23" s="328">
        <v>205.62</v>
      </c>
      <c r="H23" s="328"/>
    </row>
    <row r="24" spans="1:16" x14ac:dyDescent="0.25">
      <c r="B24" s="124" t="s">
        <v>342</v>
      </c>
      <c r="C24" s="124"/>
      <c r="D24" s="124"/>
      <c r="E24" s="124"/>
      <c r="F24" s="124"/>
      <c r="G24" s="327">
        <f>G22-G23</f>
        <v>-3.5765918704271371E-3</v>
      </c>
      <c r="H24" s="327"/>
      <c r="I24" s="332"/>
      <c r="J24" s="332"/>
      <c r="K24" s="332"/>
      <c r="L24" s="332"/>
      <c r="M24" s="332"/>
      <c r="N24" s="332"/>
      <c r="O24" s="332"/>
      <c r="P24" s="332"/>
    </row>
    <row r="26" spans="1:16" x14ac:dyDescent="0.25">
      <c r="I26" s="333" t="s">
        <v>401</v>
      </c>
      <c r="J26" s="334"/>
      <c r="K26" s="334"/>
      <c r="L26" s="334"/>
      <c r="M26" s="334"/>
      <c r="N26" s="334"/>
      <c r="O26" s="334"/>
      <c r="P26" s="334"/>
    </row>
    <row r="27" spans="1:16" x14ac:dyDescent="0.25">
      <c r="B27" s="50" t="s">
        <v>154</v>
      </c>
      <c r="I27" s="331" t="s">
        <v>402</v>
      </c>
      <c r="J27" s="331"/>
      <c r="K27" s="331"/>
      <c r="L27" s="331"/>
      <c r="M27" s="331"/>
      <c r="N27" s="331"/>
      <c r="O27" s="331"/>
      <c r="P27" s="331"/>
    </row>
    <row r="28" spans="1:16" x14ac:dyDescent="0.25">
      <c r="I28" s="286"/>
      <c r="J28" s="288"/>
      <c r="K28" s="288"/>
      <c r="L28" s="288"/>
      <c r="M28" s="288"/>
      <c r="N28" s="288"/>
      <c r="O28" s="288"/>
      <c r="P28" s="288"/>
    </row>
    <row r="29" spans="1:16" x14ac:dyDescent="0.25">
      <c r="B29" t="s">
        <v>136</v>
      </c>
      <c r="E29" t="s">
        <v>352</v>
      </c>
      <c r="I29" s="286"/>
      <c r="J29" s="288"/>
      <c r="K29" s="288"/>
      <c r="L29" s="288"/>
      <c r="M29" s="288"/>
      <c r="N29" s="288"/>
      <c r="O29" s="288"/>
      <c r="P29" s="288"/>
    </row>
    <row r="30" spans="1:16" x14ac:dyDescent="0.25">
      <c r="B30" t="s">
        <v>135</v>
      </c>
      <c r="E30" t="s">
        <v>353</v>
      </c>
    </row>
    <row r="31" spans="1:16" x14ac:dyDescent="0.25">
      <c r="B31" s="121" t="s">
        <v>350</v>
      </c>
      <c r="C31" s="121"/>
      <c r="D31" s="121"/>
      <c r="E31" s="121" t="s">
        <v>351</v>
      </c>
      <c r="G31" s="121"/>
      <c r="H31" s="121"/>
    </row>
    <row r="32" spans="1:16" x14ac:dyDescent="0.25">
      <c r="B32" t="s">
        <v>354</v>
      </c>
      <c r="E32" t="s">
        <v>355</v>
      </c>
      <c r="I32" s="286"/>
      <c r="J32" s="288"/>
      <c r="K32" s="288"/>
      <c r="L32" s="288"/>
      <c r="M32" s="288"/>
      <c r="N32" s="288"/>
      <c r="O32" s="288"/>
      <c r="P32" s="288"/>
    </row>
    <row r="33" spans="2:16" x14ac:dyDescent="0.25">
      <c r="B33" s="50" t="s">
        <v>349</v>
      </c>
      <c r="I33" s="286"/>
      <c r="J33" s="288"/>
      <c r="K33" s="288"/>
      <c r="L33" s="288"/>
      <c r="M33" s="288"/>
      <c r="N33" s="288"/>
      <c r="O33" s="288"/>
      <c r="P33" s="288"/>
    </row>
    <row r="35" spans="2:16" x14ac:dyDescent="0.25">
      <c r="I35" s="337"/>
      <c r="J35" s="337"/>
    </row>
    <row r="36" spans="2:16" x14ac:dyDescent="0.25">
      <c r="I36" s="328"/>
      <c r="J36" s="328"/>
    </row>
    <row r="37" spans="2:16" x14ac:dyDescent="0.25">
      <c r="I37" s="328"/>
      <c r="J37" s="328"/>
    </row>
    <row r="38" spans="2:16" x14ac:dyDescent="0.25">
      <c r="I38" s="328"/>
      <c r="J38" s="328"/>
    </row>
    <row r="39" spans="2:16" x14ac:dyDescent="0.25">
      <c r="I39" s="329"/>
      <c r="J39" s="329"/>
    </row>
    <row r="41" spans="2:16" x14ac:dyDescent="0.25">
      <c r="E41" s="124"/>
      <c r="F41" s="124"/>
      <c r="G41" s="124"/>
      <c r="H41" s="124"/>
      <c r="I41" s="327"/>
      <c r="J41" s="327"/>
    </row>
    <row r="42" spans="2:16" x14ac:dyDescent="0.25">
      <c r="E42" s="121"/>
      <c r="F42" s="121"/>
      <c r="G42" s="121"/>
      <c r="H42" s="121"/>
      <c r="I42" s="328"/>
      <c r="J42" s="328"/>
    </row>
    <row r="43" spans="2:16" x14ac:dyDescent="0.25">
      <c r="E43" s="124"/>
      <c r="F43" s="124"/>
      <c r="G43" s="124"/>
      <c r="H43" s="124"/>
      <c r="I43" s="336"/>
      <c r="J43" s="336"/>
    </row>
  </sheetData>
  <mergeCells count="39">
    <mergeCell ref="I41:J41"/>
    <mergeCell ref="I42:J42"/>
    <mergeCell ref="I43:J43"/>
    <mergeCell ref="I35:J35"/>
    <mergeCell ref="I36:J36"/>
    <mergeCell ref="I37:J37"/>
    <mergeCell ref="I38:J38"/>
    <mergeCell ref="I39:J39"/>
    <mergeCell ref="K3:P3"/>
    <mergeCell ref="K4:P4"/>
    <mergeCell ref="K5:P5"/>
    <mergeCell ref="K6:P6"/>
    <mergeCell ref="K7:P7"/>
    <mergeCell ref="K8:P8"/>
    <mergeCell ref="K9:P9"/>
    <mergeCell ref="K10:P10"/>
    <mergeCell ref="I29:P29"/>
    <mergeCell ref="I28:P28"/>
    <mergeCell ref="I27:P27"/>
    <mergeCell ref="J17:P17"/>
    <mergeCell ref="I24:P24"/>
    <mergeCell ref="I26:P26"/>
    <mergeCell ref="K13:P13"/>
    <mergeCell ref="K11:P11"/>
    <mergeCell ref="K12:P12"/>
    <mergeCell ref="I16:P16"/>
    <mergeCell ref="I32:P32"/>
    <mergeCell ref="I33:P33"/>
    <mergeCell ref="J18:P18"/>
    <mergeCell ref="I21:P21"/>
    <mergeCell ref="I22:P22"/>
    <mergeCell ref="G24:H24"/>
    <mergeCell ref="G23:H23"/>
    <mergeCell ref="G22:H22"/>
    <mergeCell ref="G16:H16"/>
    <mergeCell ref="G20:H20"/>
    <mergeCell ref="G19:H19"/>
    <mergeCell ref="G18:H18"/>
    <mergeCell ref="G17:H17"/>
  </mergeCells>
  <pageMargins left="0.7" right="0.7" top="0.75" bottom="0.75" header="0.3" footer="0.3"/>
  <pageSetup paperSize="5" orientation="landscape" r:id="rId1"/>
  <headerFooter>
    <oddHeader xml:space="preserve">&amp;C&amp;"-,Bold"
OPWCD DRAFT REVENUE BUDGET FOR FY2024/2025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78C-5516-4BA5-B43C-F050A61CFE7B}">
  <dimension ref="A5:J12"/>
  <sheetViews>
    <sheetView workbookViewId="0">
      <selection activeCell="F20" sqref="F20"/>
    </sheetView>
  </sheetViews>
  <sheetFormatPr defaultRowHeight="15" x14ac:dyDescent="0.25"/>
  <cols>
    <col min="6" max="6" width="10.5703125" customWidth="1"/>
  </cols>
  <sheetData>
    <row r="5" spans="1:10" ht="18.75" x14ac:dyDescent="0.3">
      <c r="A5" s="287" t="s">
        <v>53</v>
      </c>
      <c r="B5" s="287"/>
      <c r="C5" s="287"/>
      <c r="D5" s="287"/>
      <c r="E5" s="287"/>
      <c r="F5" s="287"/>
      <c r="G5" s="287"/>
      <c r="H5" s="287"/>
      <c r="I5" s="287"/>
    </row>
    <row r="7" spans="1:10" x14ac:dyDescent="0.25">
      <c r="C7" s="295" t="s">
        <v>298</v>
      </c>
      <c r="D7" s="295"/>
      <c r="E7" s="295" t="s">
        <v>54</v>
      </c>
      <c r="F7" s="295"/>
      <c r="G7" s="295" t="s">
        <v>55</v>
      </c>
      <c r="H7" s="295"/>
    </row>
    <row r="9" spans="1:10" x14ac:dyDescent="0.25">
      <c r="C9" s="296">
        <v>525300</v>
      </c>
      <c r="D9" s="296"/>
      <c r="E9" s="297">
        <v>1.4500000000000001E-2</v>
      </c>
      <c r="F9" s="297"/>
      <c r="G9" s="296">
        <f>C9*E9</f>
        <v>7616.85</v>
      </c>
      <c r="H9" s="296"/>
      <c r="J9" s="201"/>
    </row>
    <row r="12" spans="1:10" ht="21" x14ac:dyDescent="0.25">
      <c r="C12" s="294" t="s">
        <v>238</v>
      </c>
      <c r="D12" s="294"/>
      <c r="E12" s="294"/>
      <c r="F12" s="294"/>
      <c r="G12" s="294"/>
      <c r="H12" s="294"/>
      <c r="J12" s="201"/>
    </row>
  </sheetData>
  <mergeCells count="8">
    <mergeCell ref="C12:H12"/>
    <mergeCell ref="A5:I5"/>
    <mergeCell ref="C7:D7"/>
    <mergeCell ref="C9:D9"/>
    <mergeCell ref="E7:F7"/>
    <mergeCell ref="G7:H7"/>
    <mergeCell ref="E9:F9"/>
    <mergeCell ref="G9:H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41E9-8B59-4FC0-80BE-947C54BEFA22}">
  <dimension ref="B4:K19"/>
  <sheetViews>
    <sheetView workbookViewId="0">
      <selection activeCell="I26" sqref="I26"/>
    </sheetView>
  </sheetViews>
  <sheetFormatPr defaultRowHeight="15" x14ac:dyDescent="0.25"/>
  <cols>
    <col min="7" max="7" width="9.7109375" customWidth="1"/>
  </cols>
  <sheetData>
    <row r="4" spans="2:11" ht="18.75" x14ac:dyDescent="0.3">
      <c r="B4" s="287" t="s">
        <v>56</v>
      </c>
      <c r="C4" s="287"/>
      <c r="D4" s="287"/>
      <c r="E4" s="287"/>
      <c r="F4" s="287"/>
      <c r="G4" s="287"/>
      <c r="H4" s="287"/>
      <c r="I4" s="287"/>
      <c r="J4" s="287"/>
    </row>
    <row r="6" spans="2:11" x14ac:dyDescent="0.25">
      <c r="D6" s="295" t="s">
        <v>298</v>
      </c>
      <c r="E6" s="295"/>
      <c r="F6" s="295" t="s">
        <v>54</v>
      </c>
      <c r="G6" s="295"/>
      <c r="H6" s="295" t="s">
        <v>57</v>
      </c>
      <c r="I6" s="295"/>
    </row>
    <row r="8" spans="2:11" x14ac:dyDescent="0.25">
      <c r="D8" s="296">
        <v>525300</v>
      </c>
      <c r="E8" s="296"/>
      <c r="F8" s="297">
        <v>6.2E-2</v>
      </c>
      <c r="G8" s="297"/>
      <c r="H8" s="296">
        <f>D8*F8</f>
        <v>32568.6</v>
      </c>
      <c r="I8" s="296"/>
      <c r="K8" s="201"/>
    </row>
    <row r="11" spans="2:11" ht="21" x14ac:dyDescent="0.25">
      <c r="D11" s="294" t="s">
        <v>379</v>
      </c>
      <c r="E11" s="294"/>
      <c r="F11" s="294"/>
      <c r="G11" s="294"/>
      <c r="H11" s="294"/>
      <c r="I11" s="294"/>
      <c r="K11" s="201"/>
    </row>
    <row r="12" spans="2:11" ht="18.75" x14ac:dyDescent="0.3">
      <c r="B12" s="287"/>
      <c r="C12" s="287"/>
      <c r="D12" s="287"/>
      <c r="E12" s="287"/>
      <c r="F12" s="287"/>
      <c r="G12" s="287"/>
      <c r="H12" s="287"/>
      <c r="I12" s="287"/>
      <c r="J12" s="287"/>
    </row>
    <row r="14" spans="2:11" x14ac:dyDescent="0.25">
      <c r="D14" s="295"/>
      <c r="E14" s="295"/>
      <c r="F14" s="295"/>
      <c r="G14" s="295"/>
      <c r="H14" s="295"/>
      <c r="I14" s="295"/>
    </row>
    <row r="16" spans="2:11" x14ac:dyDescent="0.25">
      <c r="D16" s="296"/>
      <c r="E16" s="296"/>
      <c r="F16" s="297"/>
      <c r="G16" s="297"/>
      <c r="H16" s="296"/>
      <c r="I16" s="296"/>
    </row>
    <row r="19" spans="4:9" x14ac:dyDescent="0.25">
      <c r="D19" s="298"/>
      <c r="E19" s="298"/>
      <c r="F19" s="298"/>
      <c r="G19" s="298"/>
      <c r="H19" s="298"/>
      <c r="I19" s="298"/>
    </row>
  </sheetData>
  <mergeCells count="16">
    <mergeCell ref="B4:J4"/>
    <mergeCell ref="D6:E6"/>
    <mergeCell ref="F6:G6"/>
    <mergeCell ref="H6:I6"/>
    <mergeCell ref="D8:E8"/>
    <mergeCell ref="F8:G8"/>
    <mergeCell ref="H8:I8"/>
    <mergeCell ref="D19:I19"/>
    <mergeCell ref="D11:I11"/>
    <mergeCell ref="B12:J12"/>
    <mergeCell ref="D14:E14"/>
    <mergeCell ref="F14:G14"/>
    <mergeCell ref="H14:I14"/>
    <mergeCell ref="D16:E16"/>
    <mergeCell ref="F16:G16"/>
    <mergeCell ref="H16:I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5721C-9C3C-4B9E-B8BF-97AF0DFED55F}">
  <dimension ref="A1:I25"/>
  <sheetViews>
    <sheetView view="pageLayout" zoomScaleNormal="100" workbookViewId="0">
      <selection activeCell="E25" sqref="E25"/>
    </sheetView>
  </sheetViews>
  <sheetFormatPr defaultColWidth="9.140625" defaultRowHeight="18" x14ac:dyDescent="0.25"/>
  <cols>
    <col min="1" max="1" width="22.140625" style="13" customWidth="1"/>
    <col min="2" max="2" width="29" style="13" customWidth="1"/>
    <col min="3" max="3" width="23.28515625" style="14" bestFit="1" customWidth="1"/>
    <col min="4" max="4" width="28" style="13" customWidth="1"/>
    <col min="5" max="5" width="20" style="13" bestFit="1" customWidth="1"/>
    <col min="6" max="6" width="14.28515625" style="13" bestFit="1" customWidth="1"/>
    <col min="7" max="7" width="17.42578125" style="13" customWidth="1"/>
    <col min="8" max="8" width="18.7109375" style="13" customWidth="1"/>
    <col min="9" max="16384" width="9.140625" style="13"/>
  </cols>
  <sheetData>
    <row r="1" spans="1:9" s="2" customFormat="1" ht="18.75" thickTop="1" x14ac:dyDescent="0.25">
      <c r="A1" s="30" t="s">
        <v>0</v>
      </c>
      <c r="B1" s="31" t="s">
        <v>162</v>
      </c>
      <c r="C1" s="32" t="s">
        <v>245</v>
      </c>
      <c r="D1" s="31" t="s">
        <v>388</v>
      </c>
      <c r="E1" s="33" t="s">
        <v>1</v>
      </c>
      <c r="F1" s="1"/>
    </row>
    <row r="2" spans="1:9" s="2" customFormat="1" x14ac:dyDescent="0.25">
      <c r="A2" s="5" t="s">
        <v>225</v>
      </c>
      <c r="B2" s="29">
        <v>40061</v>
      </c>
      <c r="C2" s="29">
        <v>42064</v>
      </c>
      <c r="D2" s="6">
        <f>E15</f>
        <v>0.1663</v>
      </c>
      <c r="E2" s="7">
        <f>C2*D2</f>
        <v>6995.2431999999999</v>
      </c>
      <c r="F2" s="1"/>
    </row>
    <row r="3" spans="1:9" s="2" customFormat="1" x14ac:dyDescent="0.25">
      <c r="A3" s="5" t="s">
        <v>8</v>
      </c>
      <c r="B3" s="29">
        <v>73819</v>
      </c>
      <c r="C3" s="29">
        <v>77510</v>
      </c>
      <c r="D3" s="6">
        <f>E15</f>
        <v>0.1663</v>
      </c>
      <c r="E3" s="7">
        <f t="shared" ref="E3:E8" si="0">C3*D3</f>
        <v>12889.913</v>
      </c>
      <c r="F3" s="3"/>
      <c r="G3" s="4"/>
      <c r="H3" s="4"/>
    </row>
    <row r="4" spans="1:9" s="2" customFormat="1" x14ac:dyDescent="0.25">
      <c r="A4" s="5" t="s">
        <v>9</v>
      </c>
      <c r="B4" s="29">
        <v>57158</v>
      </c>
      <c r="C4" s="29">
        <v>62874</v>
      </c>
      <c r="D4" s="6">
        <f>E15</f>
        <v>0.1663</v>
      </c>
      <c r="E4" s="7">
        <f t="shared" si="0"/>
        <v>10455.9462</v>
      </c>
      <c r="F4" s="3"/>
      <c r="G4" s="8"/>
      <c r="H4" s="8"/>
    </row>
    <row r="5" spans="1:9" s="2" customFormat="1" x14ac:dyDescent="0.25">
      <c r="A5" s="5" t="s">
        <v>10</v>
      </c>
      <c r="B5" s="29">
        <v>47632</v>
      </c>
      <c r="C5" s="29">
        <v>49061</v>
      </c>
      <c r="D5" s="6">
        <f>E15</f>
        <v>0.1663</v>
      </c>
      <c r="E5" s="7">
        <f t="shared" si="0"/>
        <v>8158.8442999999997</v>
      </c>
      <c r="F5" s="3"/>
      <c r="G5" s="8"/>
      <c r="H5" s="8"/>
    </row>
    <row r="6" spans="1:9" s="2" customFormat="1" x14ac:dyDescent="0.25">
      <c r="A6" s="5" t="s">
        <v>11</v>
      </c>
      <c r="B6" s="29">
        <v>44075</v>
      </c>
      <c r="C6" s="29">
        <v>46279</v>
      </c>
      <c r="D6" s="6">
        <f>E15</f>
        <v>0.1663</v>
      </c>
      <c r="E6" s="7">
        <f>C6*D6</f>
        <v>7696.1976999999997</v>
      </c>
      <c r="F6" s="3"/>
      <c r="G6" s="8"/>
      <c r="H6" s="8"/>
    </row>
    <row r="7" spans="1:9" s="2" customFormat="1" x14ac:dyDescent="0.25">
      <c r="A7" s="5" t="s">
        <v>147</v>
      </c>
      <c r="B7" s="29">
        <v>38296</v>
      </c>
      <c r="C7" s="29">
        <v>40211</v>
      </c>
      <c r="D7" s="6">
        <f>E15</f>
        <v>0.1663</v>
      </c>
      <c r="E7" s="7">
        <f t="shared" si="0"/>
        <v>6687.0893000000005</v>
      </c>
      <c r="F7" s="3"/>
      <c r="G7" s="8"/>
      <c r="H7" s="8"/>
    </row>
    <row r="8" spans="1:9" s="2" customFormat="1" x14ac:dyDescent="0.25">
      <c r="A8" s="5" t="s">
        <v>13</v>
      </c>
      <c r="B8" s="24">
        <v>160285</v>
      </c>
      <c r="C8" s="29">
        <v>168299</v>
      </c>
      <c r="D8" s="6">
        <f>E17</f>
        <v>0.37519999999999998</v>
      </c>
      <c r="E8" s="7">
        <f t="shared" si="0"/>
        <v>63145.784799999994</v>
      </c>
      <c r="F8" s="3"/>
      <c r="G8" s="8"/>
      <c r="H8" s="8"/>
    </row>
    <row r="9" spans="1:9" s="2" customFormat="1" x14ac:dyDescent="0.25">
      <c r="A9" s="5" t="s">
        <v>7</v>
      </c>
      <c r="B9" s="35">
        <v>3600</v>
      </c>
      <c r="C9" s="29">
        <v>3600</v>
      </c>
      <c r="D9" s="6">
        <f>E16</f>
        <v>0.61680000000000001</v>
      </c>
      <c r="E9" s="7">
        <f>B9*D9</f>
        <v>2220.48</v>
      </c>
      <c r="F9" s="3"/>
      <c r="G9" s="8"/>
      <c r="H9" s="8"/>
    </row>
    <row r="10" spans="1:9" s="2" customFormat="1" x14ac:dyDescent="0.25">
      <c r="A10" s="5" t="s">
        <v>2</v>
      </c>
      <c r="B10" s="35">
        <v>3600</v>
      </c>
      <c r="C10" s="29">
        <v>3600</v>
      </c>
      <c r="D10" s="6">
        <f>E16</f>
        <v>0.61680000000000001</v>
      </c>
      <c r="E10" s="7">
        <f>B10*D10</f>
        <v>2220.48</v>
      </c>
      <c r="F10" s="3"/>
      <c r="G10" s="8"/>
      <c r="H10" s="8"/>
    </row>
    <row r="11" spans="1:9" s="2" customFormat="1" ht="18.75" thickBot="1" x14ac:dyDescent="0.3">
      <c r="A11" s="36" t="s">
        <v>3</v>
      </c>
      <c r="B11" s="35">
        <v>3600</v>
      </c>
      <c r="C11" s="29">
        <v>3600</v>
      </c>
      <c r="D11" s="6">
        <f>E16</f>
        <v>0.61680000000000001</v>
      </c>
      <c r="E11" s="37">
        <f>B11*D11</f>
        <v>2220.48</v>
      </c>
      <c r="F11" s="9"/>
      <c r="G11" s="8"/>
      <c r="H11" s="8"/>
    </row>
    <row r="12" spans="1:9" s="2" customFormat="1" ht="18.75" thickBot="1" x14ac:dyDescent="0.3">
      <c r="A12" s="219" t="s">
        <v>4</v>
      </c>
      <c r="B12" s="220">
        <f>SUM(B2:B11)</f>
        <v>472126</v>
      </c>
      <c r="C12" s="221">
        <f>SUM(C2:C11)</f>
        <v>497098</v>
      </c>
      <c r="D12" s="222"/>
      <c r="E12" s="223">
        <f>SUM(E2:E11)</f>
        <v>122690.45849999998</v>
      </c>
      <c r="F12" s="8"/>
      <c r="G12" s="9"/>
      <c r="H12" s="9"/>
      <c r="I12" s="8"/>
    </row>
    <row r="13" spans="1:9" s="2" customFormat="1" x14ac:dyDescent="0.25">
      <c r="B13" s="8"/>
      <c r="C13" s="10"/>
      <c r="D13" s="8"/>
      <c r="E13" s="8"/>
    </row>
    <row r="14" spans="1:9" s="2" customFormat="1" x14ac:dyDescent="0.25">
      <c r="A14" s="139" t="s">
        <v>145</v>
      </c>
      <c r="B14" s="158"/>
      <c r="C14" s="139" t="s">
        <v>164</v>
      </c>
      <c r="D14" s="186" t="s">
        <v>395</v>
      </c>
      <c r="E14" s="139" t="s">
        <v>146</v>
      </c>
      <c r="F14" s="11"/>
    </row>
    <row r="15" spans="1:9" s="2" customFormat="1" x14ac:dyDescent="0.25">
      <c r="A15" s="273" t="s">
        <v>5</v>
      </c>
      <c r="B15" s="274"/>
      <c r="C15" s="274">
        <v>0.03</v>
      </c>
      <c r="D15" s="274">
        <v>0.1363</v>
      </c>
      <c r="E15" s="274">
        <f>C15+D15</f>
        <v>0.1663</v>
      </c>
      <c r="F15" s="11"/>
    </row>
    <row r="16" spans="1:9" s="2" customFormat="1" x14ac:dyDescent="0.25">
      <c r="A16" s="273" t="s">
        <v>6</v>
      </c>
      <c r="B16" s="274"/>
      <c r="C16" s="274">
        <v>0.03</v>
      </c>
      <c r="D16" s="274">
        <v>0.58679999999999999</v>
      </c>
      <c r="E16" s="274">
        <f>C16+D16</f>
        <v>0.61680000000000001</v>
      </c>
      <c r="F16" s="11"/>
    </row>
    <row r="17" spans="1:6" s="2" customFormat="1" x14ac:dyDescent="0.25">
      <c r="A17" s="273" t="s">
        <v>163</v>
      </c>
      <c r="B17" s="274"/>
      <c r="C17" s="274">
        <v>0.03</v>
      </c>
      <c r="D17" s="274">
        <v>0.34520000000000001</v>
      </c>
      <c r="E17" s="274">
        <f>C17+D17</f>
        <v>0.37519999999999998</v>
      </c>
      <c r="F17" s="11"/>
    </row>
    <row r="18" spans="1:6" x14ac:dyDescent="0.25">
      <c r="A18" s="300" t="s">
        <v>394</v>
      </c>
      <c r="B18" s="301"/>
      <c r="C18" s="301"/>
      <c r="D18" s="301"/>
      <c r="E18" s="301"/>
      <c r="F18" s="12"/>
    </row>
    <row r="19" spans="1:6" x14ac:dyDescent="0.25">
      <c r="F19" s="15"/>
    </row>
    <row r="20" spans="1:6" x14ac:dyDescent="0.25">
      <c r="A20" s="13" t="s">
        <v>246</v>
      </c>
      <c r="B20" s="13" t="s">
        <v>396</v>
      </c>
      <c r="D20" s="111">
        <f>E12*0.02</f>
        <v>2453.8091699999995</v>
      </c>
      <c r="F20" s="17"/>
    </row>
    <row r="21" spans="1:6" x14ac:dyDescent="0.25">
      <c r="A21" s="13" t="s">
        <v>123</v>
      </c>
      <c r="B21" s="151">
        <v>12821</v>
      </c>
      <c r="C21" s="14" t="s">
        <v>124</v>
      </c>
      <c r="D21" s="218">
        <f>B21*0.1657</f>
        <v>2124.4396999999999</v>
      </c>
      <c r="E21" s="160"/>
      <c r="F21" s="18"/>
    </row>
    <row r="22" spans="1:6" x14ac:dyDescent="0.25">
      <c r="B22"/>
      <c r="C22"/>
      <c r="D22"/>
    </row>
    <row r="23" spans="1:6" x14ac:dyDescent="0.25">
      <c r="C23" s="14" t="s">
        <v>151</v>
      </c>
      <c r="D23" s="111">
        <f>E12+D20+D21</f>
        <v>127268.70736999997</v>
      </c>
    </row>
    <row r="25" spans="1:6" ht="21" x14ac:dyDescent="0.25">
      <c r="B25" s="299" t="s">
        <v>389</v>
      </c>
      <c r="C25" s="294"/>
      <c r="D25" s="294"/>
      <c r="E25" s="160"/>
    </row>
  </sheetData>
  <mergeCells count="2">
    <mergeCell ref="B25:D25"/>
    <mergeCell ref="A18:E18"/>
  </mergeCells>
  <pageMargins left="0.7" right="0.7" top="0.75" bottom="0.75" header="0.3" footer="0.3"/>
  <pageSetup paperSize="5" orientation="landscape" r:id="rId1"/>
  <headerFooter>
    <oddHeader>&amp;C&amp;"Tahoma,Bold"&amp;16FY 2025 BUDGET (FRS)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2C46-D433-4D21-B1A1-BCA216A71253}">
  <dimension ref="C3:K7"/>
  <sheetViews>
    <sheetView workbookViewId="0">
      <selection activeCell="H15" sqref="H15:I16"/>
    </sheetView>
  </sheetViews>
  <sheetFormatPr defaultRowHeight="15" x14ac:dyDescent="0.25"/>
  <sheetData>
    <row r="3" spans="3:11" x14ac:dyDescent="0.25">
      <c r="C3" t="s">
        <v>239</v>
      </c>
      <c r="K3" s="156">
        <v>21000</v>
      </c>
    </row>
    <row r="7" spans="3:11" ht="21" x14ac:dyDescent="0.35">
      <c r="C7" s="215" t="s">
        <v>240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124F-1A6D-4066-983E-F70C3765DDDE}">
  <sheetPr>
    <pageSetUpPr fitToPage="1"/>
  </sheetPr>
  <dimension ref="A1:L37"/>
  <sheetViews>
    <sheetView view="pageLayout" topLeftCell="A15" zoomScaleNormal="100" workbookViewId="0">
      <selection activeCell="A27" sqref="A27"/>
    </sheetView>
  </sheetViews>
  <sheetFormatPr defaultColWidth="9.140625" defaultRowHeight="28.5" customHeight="1" x14ac:dyDescent="0.25"/>
  <cols>
    <col min="1" max="1" width="37.7109375" style="2" customWidth="1"/>
    <col min="2" max="2" width="37.5703125" style="2" customWidth="1"/>
    <col min="3" max="3" width="30" style="2" customWidth="1"/>
    <col min="4" max="4" width="24.7109375" style="2" customWidth="1"/>
    <col min="5" max="5" width="21.5703125" style="2" customWidth="1"/>
    <col min="6" max="6" width="23.28515625" style="2" customWidth="1"/>
    <col min="7" max="7" width="17.85546875" style="2" customWidth="1"/>
    <col min="8" max="8" width="13.85546875" style="2" bestFit="1" customWidth="1"/>
    <col min="9" max="9" width="19.28515625" style="2" customWidth="1"/>
    <col min="10" max="10" width="17.140625" style="2" customWidth="1"/>
    <col min="11" max="11" width="19.5703125" style="2" customWidth="1"/>
    <col min="12" max="12" width="12" style="2" bestFit="1" customWidth="1"/>
    <col min="13" max="16384" width="9.140625" style="2"/>
  </cols>
  <sheetData>
    <row r="1" spans="1:12" ht="28.5" customHeight="1" x14ac:dyDescent="0.25">
      <c r="A1" s="94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8.5" customHeight="1" x14ac:dyDescent="0.25">
      <c r="A2" s="51"/>
      <c r="B2" s="159" t="s">
        <v>247</v>
      </c>
      <c r="C2" s="159" t="s">
        <v>248</v>
      </c>
      <c r="D2" s="99" t="s">
        <v>165</v>
      </c>
      <c r="E2" s="99" t="s">
        <v>166</v>
      </c>
      <c r="F2" s="95" t="s">
        <v>167</v>
      </c>
      <c r="I2" s="94"/>
      <c r="J2" s="94"/>
      <c r="K2" s="96"/>
      <c r="L2" s="96"/>
    </row>
    <row r="3" spans="1:12" ht="28.5" customHeight="1" x14ac:dyDescent="0.25">
      <c r="A3" s="96" t="s">
        <v>253</v>
      </c>
      <c r="B3" s="111">
        <v>739.23</v>
      </c>
      <c r="C3" s="111">
        <f>B3*1.15</f>
        <v>850.11449999999991</v>
      </c>
      <c r="D3" s="111">
        <v>12.89</v>
      </c>
      <c r="E3" s="111">
        <v>6.5</v>
      </c>
      <c r="F3" s="111">
        <v>2.5</v>
      </c>
      <c r="G3" s="94"/>
      <c r="H3" s="200">
        <f>SUM(C3:G3)</f>
        <v>872.00449999999989</v>
      </c>
      <c r="I3" s="94"/>
      <c r="J3" s="94"/>
      <c r="K3" s="96"/>
      <c r="L3" s="96"/>
    </row>
    <row r="4" spans="1:12" ht="28.5" customHeight="1" x14ac:dyDescent="0.25">
      <c r="A4" s="160" t="s">
        <v>255</v>
      </c>
      <c r="B4" s="111">
        <v>0</v>
      </c>
      <c r="C4" s="111">
        <f t="shared" ref="C4:C16" si="0">B4*1.15</f>
        <v>0</v>
      </c>
      <c r="D4" s="111">
        <v>0</v>
      </c>
      <c r="E4" s="111">
        <v>0</v>
      </c>
      <c r="F4" s="111">
        <v>0</v>
      </c>
      <c r="G4" s="94"/>
      <c r="H4" s="200">
        <f t="shared" ref="H4:H16" si="1">SUM(C4:G4)</f>
        <v>0</v>
      </c>
      <c r="I4" s="94"/>
      <c r="J4" s="94"/>
      <c r="K4" s="96"/>
      <c r="L4" s="96"/>
    </row>
    <row r="5" spans="1:12" ht="28.5" customHeight="1" x14ac:dyDescent="0.25">
      <c r="A5" s="160" t="s">
        <v>254</v>
      </c>
      <c r="B5" s="111">
        <v>467.39</v>
      </c>
      <c r="C5" s="111">
        <f t="shared" si="0"/>
        <v>537.49849999999992</v>
      </c>
      <c r="D5" s="111">
        <v>16.11</v>
      </c>
      <c r="E5" s="111">
        <v>5.85</v>
      </c>
      <c r="F5" s="111">
        <v>0</v>
      </c>
      <c r="G5" s="94"/>
      <c r="H5" s="200">
        <f t="shared" si="1"/>
        <v>559.45849999999996</v>
      </c>
      <c r="I5" s="94"/>
      <c r="J5" s="94"/>
      <c r="K5" s="96"/>
      <c r="L5" s="96"/>
    </row>
    <row r="6" spans="1:12" ht="28.5" customHeight="1" x14ac:dyDescent="0.25">
      <c r="A6" s="96" t="s">
        <v>249</v>
      </c>
      <c r="B6" s="111">
        <v>678.31</v>
      </c>
      <c r="C6" s="111">
        <f t="shared" si="0"/>
        <v>780.05649999999991</v>
      </c>
      <c r="D6" s="111">
        <v>12.89</v>
      </c>
      <c r="E6" s="111">
        <v>6.5</v>
      </c>
      <c r="F6" s="111">
        <v>4</v>
      </c>
      <c r="G6" s="96"/>
      <c r="H6" s="200">
        <f t="shared" si="1"/>
        <v>803.4464999999999</v>
      </c>
      <c r="I6" s="96"/>
      <c r="J6" s="96"/>
      <c r="K6" s="96"/>
      <c r="L6" s="96"/>
    </row>
    <row r="7" spans="1:12" ht="28.5" customHeight="1" x14ac:dyDescent="0.25">
      <c r="A7" s="160" t="s">
        <v>250</v>
      </c>
      <c r="B7" s="111">
        <v>637.86</v>
      </c>
      <c r="C7" s="111">
        <f t="shared" si="0"/>
        <v>733.53899999999999</v>
      </c>
      <c r="D7" s="111">
        <v>33.770000000000003</v>
      </c>
      <c r="E7" s="111">
        <v>13</v>
      </c>
      <c r="F7" s="111">
        <v>0</v>
      </c>
      <c r="G7" s="96"/>
      <c r="H7" s="200">
        <f t="shared" si="1"/>
        <v>780.30899999999997</v>
      </c>
      <c r="I7" s="96"/>
      <c r="J7" s="96"/>
      <c r="K7" s="96"/>
      <c r="L7" s="96"/>
    </row>
    <row r="8" spans="1:12" ht="28.5" customHeight="1" x14ac:dyDescent="0.25">
      <c r="A8" s="160" t="s">
        <v>251</v>
      </c>
      <c r="B8" s="111">
        <v>391.63</v>
      </c>
      <c r="C8" s="111">
        <f t="shared" si="0"/>
        <v>450.37449999999995</v>
      </c>
      <c r="D8" s="111">
        <v>0</v>
      </c>
      <c r="E8" s="111">
        <v>0</v>
      </c>
      <c r="F8" s="111">
        <v>0</v>
      </c>
      <c r="G8" s="96"/>
      <c r="H8" s="200">
        <f t="shared" si="1"/>
        <v>450.37449999999995</v>
      </c>
      <c r="I8" s="96"/>
      <c r="J8" s="96"/>
      <c r="K8" s="96"/>
      <c r="L8" s="96"/>
    </row>
    <row r="9" spans="1:12" ht="28.5" customHeight="1" x14ac:dyDescent="0.25">
      <c r="A9" s="160" t="s">
        <v>252</v>
      </c>
      <c r="B9" s="111">
        <v>391.63</v>
      </c>
      <c r="C9" s="111">
        <f t="shared" si="0"/>
        <v>450.37449999999995</v>
      </c>
      <c r="D9" s="111">
        <v>0</v>
      </c>
      <c r="E9" s="111">
        <v>0</v>
      </c>
      <c r="F9" s="111">
        <v>0</v>
      </c>
      <c r="G9" s="13"/>
      <c r="H9" s="200">
        <f t="shared" si="1"/>
        <v>450.37449999999995</v>
      </c>
      <c r="I9" s="13"/>
      <c r="J9" s="13"/>
      <c r="K9" s="13"/>
      <c r="L9" s="13"/>
    </row>
    <row r="10" spans="1:12" ht="28.5" customHeight="1" x14ac:dyDescent="0.25">
      <c r="A10" s="96" t="s">
        <v>256</v>
      </c>
      <c r="B10" s="111">
        <v>605.61</v>
      </c>
      <c r="C10" s="111">
        <f t="shared" si="0"/>
        <v>696.45150000000001</v>
      </c>
      <c r="D10" s="111">
        <v>12.89</v>
      </c>
      <c r="E10" s="111">
        <v>6.5</v>
      </c>
      <c r="F10" s="111">
        <v>2.5</v>
      </c>
      <c r="G10" s="13"/>
      <c r="H10" s="200">
        <f t="shared" si="1"/>
        <v>718.3415</v>
      </c>
      <c r="I10" s="13"/>
      <c r="J10" s="13"/>
      <c r="K10" s="13"/>
      <c r="L10" s="13"/>
    </row>
    <row r="11" spans="1:12" ht="28.5" customHeight="1" x14ac:dyDescent="0.25">
      <c r="A11" s="96" t="s">
        <v>257</v>
      </c>
      <c r="B11" s="111">
        <v>605.61</v>
      </c>
      <c r="C11" s="111">
        <f t="shared" si="0"/>
        <v>696.45150000000001</v>
      </c>
      <c r="D11" s="111">
        <v>12.89</v>
      </c>
      <c r="E11" s="111">
        <v>6.5</v>
      </c>
      <c r="F11" s="111">
        <v>2.5</v>
      </c>
      <c r="G11" s="13"/>
      <c r="H11" s="200">
        <f t="shared" si="1"/>
        <v>718.3415</v>
      </c>
      <c r="I11" s="13"/>
      <c r="J11" s="13"/>
      <c r="K11" s="13"/>
      <c r="L11" s="13"/>
    </row>
    <row r="12" spans="1:12" ht="28.5" customHeight="1" x14ac:dyDescent="0.25">
      <c r="A12" s="160" t="s">
        <v>262</v>
      </c>
      <c r="B12" s="111">
        <v>391.63</v>
      </c>
      <c r="C12" s="111">
        <f t="shared" si="0"/>
        <v>450.37449999999995</v>
      </c>
      <c r="D12" s="111">
        <v>0</v>
      </c>
      <c r="E12" s="111">
        <v>0</v>
      </c>
      <c r="F12" s="111">
        <v>0</v>
      </c>
      <c r="G12" s="13"/>
      <c r="H12" s="200">
        <f t="shared" si="1"/>
        <v>450.37449999999995</v>
      </c>
      <c r="I12" s="13"/>
      <c r="J12" s="13"/>
      <c r="K12" s="13"/>
      <c r="L12" s="13"/>
    </row>
    <row r="13" spans="1:12" ht="28.5" customHeight="1" x14ac:dyDescent="0.25">
      <c r="A13" s="160" t="s">
        <v>263</v>
      </c>
      <c r="B13" s="111">
        <v>391.63</v>
      </c>
      <c r="C13" s="111">
        <f t="shared" si="0"/>
        <v>450.37449999999995</v>
      </c>
      <c r="D13" s="111">
        <v>0</v>
      </c>
      <c r="E13" s="111">
        <v>0</v>
      </c>
      <c r="F13" s="111">
        <v>0</v>
      </c>
      <c r="G13" s="13"/>
      <c r="H13" s="200">
        <f t="shared" si="1"/>
        <v>450.37449999999995</v>
      </c>
      <c r="I13" s="13"/>
      <c r="J13" s="13"/>
      <c r="K13" s="13"/>
      <c r="L13" s="13"/>
    </row>
    <row r="14" spans="1:12" ht="28.5" customHeight="1" x14ac:dyDescent="0.25">
      <c r="A14" s="96" t="s">
        <v>258</v>
      </c>
      <c r="B14" s="111">
        <v>572.85</v>
      </c>
      <c r="C14" s="111">
        <f t="shared" si="0"/>
        <v>658.77750000000003</v>
      </c>
      <c r="D14" s="111">
        <v>12.89</v>
      </c>
      <c r="E14" s="111">
        <v>6.5</v>
      </c>
      <c r="F14" s="111">
        <v>2</v>
      </c>
      <c r="G14" s="13"/>
      <c r="H14" s="200">
        <f t="shared" si="1"/>
        <v>680.16750000000002</v>
      </c>
      <c r="I14" s="13"/>
      <c r="J14" s="13"/>
      <c r="K14" s="13"/>
      <c r="L14" s="13"/>
    </row>
    <row r="15" spans="1:12" ht="28.5" customHeight="1" x14ac:dyDescent="0.25">
      <c r="A15" s="96" t="s">
        <v>259</v>
      </c>
      <c r="B15" s="111">
        <v>1247.57</v>
      </c>
      <c r="C15" s="111">
        <f t="shared" si="0"/>
        <v>1434.7054999999998</v>
      </c>
      <c r="D15" s="111">
        <v>12.89</v>
      </c>
      <c r="E15" s="111">
        <v>6.5</v>
      </c>
      <c r="F15" s="111">
        <v>14.5</v>
      </c>
      <c r="G15" s="13"/>
      <c r="H15" s="200">
        <f t="shared" si="1"/>
        <v>1468.5954999999999</v>
      </c>
      <c r="I15" s="13"/>
      <c r="J15" s="13"/>
      <c r="K15" s="13"/>
      <c r="L15" s="13"/>
    </row>
    <row r="16" spans="1:12" ht="28.5" customHeight="1" x14ac:dyDescent="0.25">
      <c r="A16" s="160" t="s">
        <v>260</v>
      </c>
      <c r="B16" s="111">
        <v>496.57</v>
      </c>
      <c r="C16" s="111">
        <f t="shared" si="0"/>
        <v>571.05549999999994</v>
      </c>
      <c r="D16" s="111">
        <v>16.11</v>
      </c>
      <c r="E16" s="111">
        <v>5.85</v>
      </c>
      <c r="F16" s="111">
        <v>0</v>
      </c>
      <c r="G16" s="13"/>
      <c r="H16" s="200">
        <f t="shared" si="1"/>
        <v>593.01549999999997</v>
      </c>
      <c r="I16" s="13"/>
      <c r="J16" s="13"/>
      <c r="K16" s="13"/>
      <c r="L16" s="13"/>
    </row>
    <row r="17" spans="1:12" ht="28.5" customHeight="1" x14ac:dyDescent="0.25">
      <c r="A17" s="96"/>
      <c r="B17" s="111"/>
      <c r="C17" s="111"/>
      <c r="D17" s="111"/>
      <c r="E17" s="111"/>
      <c r="F17" s="111"/>
      <c r="G17" s="13"/>
      <c r="H17" s="13"/>
      <c r="I17" s="13"/>
      <c r="J17" s="13"/>
      <c r="K17" s="13"/>
      <c r="L17" s="13"/>
    </row>
    <row r="18" spans="1:12" ht="28.5" customHeight="1" x14ac:dyDescent="0.25">
      <c r="A18" s="164" t="s">
        <v>168</v>
      </c>
      <c r="B18" s="100">
        <f>SUM(B3:B17)</f>
        <v>7617.52</v>
      </c>
      <c r="C18" s="162">
        <f>SUM(C3:C17)</f>
        <v>8760.1479999999992</v>
      </c>
      <c r="D18" s="100">
        <f>SUM(D3:D17)</f>
        <v>143.32999999999998</v>
      </c>
      <c r="E18" s="100">
        <f>SUM(E3:E17)</f>
        <v>63.7</v>
      </c>
      <c r="F18" s="100">
        <f>SUM(F3:F17)</f>
        <v>28</v>
      </c>
      <c r="G18" s="13"/>
      <c r="H18" s="13"/>
      <c r="I18" s="13"/>
      <c r="J18" s="13"/>
      <c r="K18" s="13"/>
      <c r="L18" s="13"/>
    </row>
    <row r="19" spans="1:12" ht="28.5" customHeight="1" x14ac:dyDescent="0.25">
      <c r="A19" s="163" t="s">
        <v>169</v>
      </c>
      <c r="B19" s="100">
        <f>B18*3</f>
        <v>22852.560000000001</v>
      </c>
      <c r="C19" s="162">
        <f>C18*9</f>
        <v>78841.331999999995</v>
      </c>
      <c r="D19" s="169">
        <f>D18*12</f>
        <v>1719.9599999999998</v>
      </c>
      <c r="E19" s="100">
        <f>E18*12</f>
        <v>764.40000000000009</v>
      </c>
      <c r="F19" s="100">
        <f>F18*12</f>
        <v>336</v>
      </c>
      <c r="G19" s="302"/>
      <c r="H19" s="303"/>
      <c r="I19" s="102"/>
    </row>
    <row r="20" spans="1:12" ht="28.5" customHeight="1" x14ac:dyDescent="0.25">
      <c r="A20" s="304" t="s">
        <v>261</v>
      </c>
      <c r="B20" s="305"/>
      <c r="C20" s="13"/>
      <c r="D20" s="13"/>
      <c r="E20" s="13"/>
      <c r="F20" s="13"/>
      <c r="G20" s="164"/>
      <c r="H20" s="103"/>
      <c r="I20" s="102"/>
    </row>
    <row r="21" spans="1:12" ht="28.5" customHeight="1" x14ac:dyDescent="0.25">
      <c r="A21" s="164" t="s">
        <v>220</v>
      </c>
      <c r="B21" s="170">
        <f>SUM(B19:F19)</f>
        <v>104514.25199999999</v>
      </c>
      <c r="C21" s="13"/>
      <c r="D21" s="13"/>
      <c r="E21" s="13"/>
      <c r="F21" s="13"/>
      <c r="G21" s="164"/>
      <c r="H21" s="103"/>
      <c r="I21" s="102"/>
    </row>
    <row r="22" spans="1:12" ht="28.5" customHeight="1" x14ac:dyDescent="0.25">
      <c r="A22" s="13"/>
      <c r="B22" s="96" t="s">
        <v>137</v>
      </c>
      <c r="C22" s="111" t="s">
        <v>264</v>
      </c>
      <c r="D22" s="94" t="s">
        <v>265</v>
      </c>
      <c r="E22" s="306" t="s">
        <v>266</v>
      </c>
      <c r="F22" s="307"/>
      <c r="G22" s="171">
        <v>15000</v>
      </c>
    </row>
    <row r="23" spans="1:12" ht="28.5" customHeight="1" x14ac:dyDescent="0.25">
      <c r="A23" s="13"/>
      <c r="B23" s="96" t="s">
        <v>138</v>
      </c>
      <c r="C23" s="170">
        <f xml:space="preserve"> 45*12</f>
        <v>540</v>
      </c>
      <c r="D23" s="13"/>
      <c r="E23" s="13"/>
      <c r="F23" s="13"/>
      <c r="G23" s="13"/>
    </row>
    <row r="24" spans="1:12" ht="28.5" customHeight="1" x14ac:dyDescent="0.25">
      <c r="A24" s="160"/>
      <c r="B24" s="165"/>
      <c r="C24" s="191"/>
      <c r="F24" s="166"/>
      <c r="G24" s="100"/>
    </row>
    <row r="25" spans="1:12" ht="28.5" customHeight="1" x14ac:dyDescent="0.25">
      <c r="A25" s="161"/>
      <c r="B25" s="96" t="s">
        <v>142</v>
      </c>
      <c r="C25" s="172">
        <v>9200</v>
      </c>
      <c r="D25" s="13"/>
      <c r="E25" s="13"/>
      <c r="F25" s="13"/>
      <c r="G25" s="13"/>
    </row>
    <row r="26" spans="1:12" ht="28.5" customHeight="1" x14ac:dyDescent="0.25">
      <c r="A26" s="13"/>
      <c r="B26" s="167" t="s">
        <v>144</v>
      </c>
      <c r="C26" s="173">
        <v>1125</v>
      </c>
      <c r="D26" s="168"/>
      <c r="E26" s="13"/>
      <c r="F26" s="13"/>
      <c r="G26" s="13"/>
    </row>
    <row r="27" spans="1:12" ht="28.5" customHeight="1" x14ac:dyDescent="0.25">
      <c r="A27" s="13"/>
      <c r="B27" s="13"/>
      <c r="C27" s="151"/>
      <c r="D27" s="13"/>
      <c r="E27" s="13"/>
      <c r="F27" s="13"/>
      <c r="G27" s="13"/>
    </row>
    <row r="28" spans="1:12" ht="28.5" customHeight="1" x14ac:dyDescent="0.25">
      <c r="A28" s="13"/>
      <c r="B28" s="164" t="s">
        <v>226</v>
      </c>
      <c r="C28" s="174">
        <f>B21+G22+C23+C25+C26</f>
        <v>130379.25199999999</v>
      </c>
      <c r="D28" s="13"/>
      <c r="E28" s="13"/>
      <c r="F28" s="13"/>
      <c r="G28" s="13"/>
    </row>
    <row r="29" spans="1:12" ht="28.5" customHeight="1" x14ac:dyDescent="0.25">
      <c r="D29" s="50"/>
      <c r="E29" s="50"/>
      <c r="F29"/>
    </row>
    <row r="30" spans="1:12" ht="28.5" customHeight="1" x14ac:dyDescent="0.25">
      <c r="A30" s="101"/>
      <c r="B30" s="227" t="s">
        <v>267</v>
      </c>
      <c r="C30" s="228">
        <v>130400</v>
      </c>
      <c r="D30" s="196"/>
    </row>
    <row r="31" spans="1:12" ht="28.5" customHeight="1" x14ac:dyDescent="0.25">
      <c r="A31" s="196"/>
      <c r="B31" s="196"/>
      <c r="C31" s="197"/>
    </row>
    <row r="32" spans="1:12" ht="28.5" customHeight="1" x14ac:dyDescent="0.25">
      <c r="A32" s="196"/>
      <c r="B32" s="196"/>
      <c r="C32" s="197"/>
    </row>
    <row r="34" spans="2:3" ht="28.5" customHeight="1" x14ac:dyDescent="0.25">
      <c r="B34" s="224"/>
      <c r="C34" s="225"/>
    </row>
    <row r="37" spans="2:3" ht="28.5" customHeight="1" x14ac:dyDescent="0.25">
      <c r="B37" s="213"/>
      <c r="C37" s="226"/>
    </row>
  </sheetData>
  <mergeCells count="3">
    <mergeCell ref="G19:H19"/>
    <mergeCell ref="A20:B20"/>
    <mergeCell ref="E22:F22"/>
  </mergeCells>
  <pageMargins left="0.7" right="0.7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F8060F14DFE4EA4CA17B6E36E2049" ma:contentTypeVersion="13" ma:contentTypeDescription="Create a new document." ma:contentTypeScope="" ma:versionID="2f4e8ed788c1afbc647a452bb38b7f48">
  <xsd:schema xmlns:xsd="http://www.w3.org/2001/XMLSchema" xmlns:xs="http://www.w3.org/2001/XMLSchema" xmlns:p="http://schemas.microsoft.com/office/2006/metadata/properties" xmlns:ns2="d77f96f1-e622-4956-9576-133266cd0256" xmlns:ns3="ed30f7b8-a801-4fb8-ba89-6f56610cebe8" targetNamespace="http://schemas.microsoft.com/office/2006/metadata/properties" ma:root="true" ma:fieldsID="979288e16d921e69ce76aecfabcb249e" ns2:_="" ns3:_="">
    <xsd:import namespace="d77f96f1-e622-4956-9576-133266cd0256"/>
    <xsd:import namespace="ed30f7b8-a801-4fb8-ba89-6f56610ce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f96f1-e622-4956-9576-133266cd0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e979a8-61b8-4bf9-9593-59b56097e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0f7b8-a801-4fb8-ba89-6f56610cebe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7d64854-d903-4c70-b2a8-01424a63583d}" ma:internalName="TaxCatchAll" ma:showField="CatchAllData" ma:web="ed30f7b8-a801-4fb8-ba89-6f56610ce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9DBFE-406C-453F-A76F-E5DB977D04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1F64D-B553-486A-861F-7A9F9B996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7f96f1-e622-4956-9576-133266cd0256"/>
    <ds:schemaRef ds:uri="ed30f7b8-a801-4fb8-ba89-6f56610ce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3</vt:i4>
      </vt:variant>
    </vt:vector>
  </HeadingPairs>
  <TitlesOfParts>
    <vt:vector size="44" baseType="lpstr">
      <vt:lpstr>538.120 Employee Payroll</vt:lpstr>
      <vt:lpstr>538.125 Board Members Payroll</vt:lpstr>
      <vt:lpstr>538.130 PAYROLL-FRINGE BENEFITS</vt:lpstr>
      <vt:lpstr>538.150 Compens. unused leave</vt:lpstr>
      <vt:lpstr>538.200 TAX-MEDICARE</vt:lpstr>
      <vt:lpstr>538.210 TAX-SOCIAL SECURITY</vt:lpstr>
      <vt:lpstr>538.220 TAX-RETIREMENT</vt:lpstr>
      <vt:lpstr>538.227 Special Assess. Collect</vt:lpstr>
      <vt:lpstr>538.230 INS. - HEALTH &amp; LIFE</vt:lpstr>
      <vt:lpstr>538.240 WORKER COMP</vt:lpstr>
      <vt:lpstr>538.250 Unemployment  Comp.</vt:lpstr>
      <vt:lpstr>538.260 GEN. LIABILITY INS.</vt:lpstr>
      <vt:lpstr>538.310 Engineering</vt:lpstr>
      <vt:lpstr>538.311 Legal &amp; Professional</vt:lpstr>
      <vt:lpstr>538.320 Audit</vt:lpstr>
      <vt:lpstr>538.340 Independent Services</vt:lpstr>
      <vt:lpstr>538.350 IT-Security</vt:lpstr>
      <vt:lpstr>538.400 Travel-Conferences</vt:lpstr>
      <vt:lpstr>538.410 Telephone</vt:lpstr>
      <vt:lpstr>538.431 Water &amp; Sewer</vt:lpstr>
      <vt:lpstr>538.432 Electric</vt:lpstr>
      <vt:lpstr>538.461 M&amp;R Auto-Truck</vt:lpstr>
      <vt:lpstr>538.462 M&amp;R Buildings</vt:lpstr>
      <vt:lpstr>538.463 M&amp;R Canals</vt:lpstr>
      <vt:lpstr>538.464 M&amp;R Equipment</vt:lpstr>
      <vt:lpstr>538.465 M&amp;R Engines-Pumps</vt:lpstr>
      <vt:lpstr>538.466 M&amp;R Radio</vt:lpstr>
      <vt:lpstr>538.467 M&amp;R Yards</vt:lpstr>
      <vt:lpstr>538.492 Advertising</vt:lpstr>
      <vt:lpstr>538.500 Bank Charges</vt:lpstr>
      <vt:lpstr>538.510 Office Supplies</vt:lpstr>
      <vt:lpstr>538.521 Auto-Fuel,Oil</vt:lpstr>
      <vt:lpstr>538.522 LP-Natural Gas</vt:lpstr>
      <vt:lpstr>538.523 Shop Supplies</vt:lpstr>
      <vt:lpstr>538.525 Uniforms-Shoes-PPE</vt:lpstr>
      <vt:lpstr>538.540 Dues-Licenses</vt:lpstr>
      <vt:lpstr>538.545 Books &amp; Subscriptions</vt:lpstr>
      <vt:lpstr>538.640 Capital Expenditures</vt:lpstr>
      <vt:lpstr>Rents and Leases Revenue</vt:lpstr>
      <vt:lpstr>FY2025 Expense Budget - Ledger </vt:lpstr>
      <vt:lpstr>FY2025 Revenue Budget</vt:lpstr>
      <vt:lpstr>'538.120 Employee Payroll'!Print_Area</vt:lpstr>
      <vt:lpstr>'538.125 Board Members Payroll'!Print_Area</vt:lpstr>
      <vt:lpstr>'538.150 Compens. unused leave'!Print_Area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Brett Butler</cp:lastModifiedBy>
  <cp:lastPrinted>2024-09-11T08:25:30Z</cp:lastPrinted>
  <dcterms:created xsi:type="dcterms:W3CDTF">2015-04-27T15:13:07Z</dcterms:created>
  <dcterms:modified xsi:type="dcterms:W3CDTF">2024-09-13T12:24:07Z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2023-03-27T15:27:07Z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ebb4bb98-0681-4463-8681-20d25bf43ea1</vt:lpwstr>
  </property>
  <property fmtid="{D5CDD505-2E9C-101B-9397-08002B2CF9AE}" pid="7" name="MSIP_Label_defa4170-0d19-0005-0004-bc88714345d2_ActionId">
    <vt:lpwstr>0da143fe-3caf-4d92-b0b4-2a6aa7f34b4e</vt:lpwstr>
  </property>
  <property fmtid="{D5CDD505-2E9C-101B-9397-08002B2CF9AE}" pid="8" name="MSIP_Label_defa4170-0d19-0005-0004-bc88714345d2_ContentBits">
    <vt:lpwstr>0</vt:lpwstr>
  </property>
</Properties>
</file>